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 Pavement Marking Program\Bid Phase\Upload to Website\"/>
    </mc:Choice>
  </mc:AlternateContent>
  <xr:revisionPtr revIDLastSave="0" documentId="13_ncr:1_{190B3F1B-ACF6-47F5-AEB3-7B76F02823E1}" xr6:coauthVersionLast="47" xr6:coauthVersionMax="47" xr10:uidLastSave="{00000000-0000-0000-0000-000000000000}"/>
  <bookViews>
    <workbookView xWindow="-120" yWindow="-120" windowWidth="38640" windowHeight="21120" activeTab="1" xr2:uid="{D754B9F8-55CA-4931-93C1-77228080DC70}"/>
  </bookViews>
  <sheets>
    <sheet name="2026 Part 1" sheetId="12" r:id="rId1"/>
    <sheet name="2026 Part 2" sheetId="11" r:id="rId2"/>
    <sheet name="Total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6" i="13" l="1"/>
  <c r="F176" i="13" s="1"/>
  <c r="F137" i="12"/>
  <c r="H137" i="12"/>
  <c r="J137" i="12"/>
  <c r="L137" i="12"/>
  <c r="K117" i="12"/>
  <c r="J117" i="12" s="1"/>
  <c r="G117" i="12"/>
  <c r="H35" i="11"/>
  <c r="F35" i="11"/>
  <c r="J35" i="11"/>
  <c r="L35" i="11"/>
  <c r="M66" i="12"/>
  <c r="L66" i="12" s="1"/>
  <c r="K66" i="12"/>
  <c r="J66" i="12" s="1"/>
  <c r="G66" i="12"/>
  <c r="F66" i="12"/>
  <c r="H66" i="12"/>
  <c r="F5" i="12"/>
  <c r="F6" i="12"/>
  <c r="F10" i="12"/>
  <c r="F11" i="12"/>
  <c r="F12" i="12"/>
  <c r="F13" i="12"/>
  <c r="F14" i="12"/>
  <c r="F15" i="12"/>
  <c r="F16" i="12"/>
  <c r="F17" i="12"/>
  <c r="F18" i="12"/>
  <c r="F22" i="12"/>
  <c r="F24" i="12"/>
  <c r="F25" i="12"/>
  <c r="F27" i="12"/>
  <c r="F28" i="12"/>
  <c r="F29" i="12"/>
  <c r="F30" i="12"/>
  <c r="F31" i="12"/>
  <c r="F32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8" i="12"/>
  <c r="F50" i="12"/>
  <c r="F51" i="12"/>
  <c r="F53" i="12"/>
  <c r="F54" i="12"/>
  <c r="F55" i="12"/>
  <c r="F56" i="12"/>
  <c r="F57" i="12"/>
  <c r="F58" i="12"/>
  <c r="F59" i="12"/>
  <c r="F60" i="12"/>
  <c r="F61" i="12"/>
  <c r="F62" i="12"/>
  <c r="F64" i="12"/>
  <c r="F65" i="12"/>
  <c r="F67" i="12"/>
  <c r="F68" i="12"/>
  <c r="F69" i="12"/>
  <c r="F70" i="12"/>
  <c r="F71" i="12"/>
  <c r="F73" i="12"/>
  <c r="F74" i="12"/>
  <c r="F75" i="12"/>
  <c r="F76" i="12"/>
  <c r="F77" i="12"/>
  <c r="F78" i="12"/>
  <c r="F79" i="12"/>
  <c r="F81" i="12"/>
  <c r="F82" i="12"/>
  <c r="F83" i="12"/>
  <c r="F85" i="12"/>
  <c r="F86" i="12"/>
  <c r="F87" i="12"/>
  <c r="F88" i="12"/>
  <c r="F89" i="12"/>
  <c r="F90" i="12"/>
  <c r="F91" i="12"/>
  <c r="F92" i="12"/>
  <c r="F95" i="12"/>
  <c r="F96" i="12"/>
  <c r="F97" i="12"/>
  <c r="F98" i="12"/>
  <c r="F99" i="12"/>
  <c r="F100" i="12"/>
  <c r="F103" i="12"/>
  <c r="F105" i="12"/>
  <c r="F106" i="12"/>
  <c r="F107" i="12"/>
  <c r="F108" i="12"/>
  <c r="F109" i="12"/>
  <c r="F110" i="12"/>
  <c r="F111" i="12"/>
  <c r="F112" i="12"/>
  <c r="F113" i="12"/>
  <c r="F115" i="12"/>
  <c r="F117" i="12"/>
  <c r="F120" i="12"/>
  <c r="F121" i="12"/>
  <c r="F122" i="12"/>
  <c r="F123" i="12"/>
  <c r="F124" i="12"/>
  <c r="F125" i="12"/>
  <c r="F126" i="12"/>
  <c r="F127" i="12"/>
  <c r="F129" i="12"/>
  <c r="F130" i="12"/>
  <c r="F131" i="12"/>
  <c r="F133" i="12"/>
  <c r="F134" i="12"/>
  <c r="F135" i="12"/>
  <c r="F136" i="12"/>
  <c r="F139" i="12"/>
  <c r="H5" i="12"/>
  <c r="H6" i="12"/>
  <c r="H10" i="12"/>
  <c r="H11" i="12"/>
  <c r="H12" i="12"/>
  <c r="H13" i="12"/>
  <c r="H14" i="12"/>
  <c r="H15" i="12"/>
  <c r="H16" i="12"/>
  <c r="H17" i="12"/>
  <c r="H18" i="12"/>
  <c r="H20" i="12"/>
  <c r="H22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8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1" i="12"/>
  <c r="H82" i="12"/>
  <c r="H83" i="12"/>
  <c r="H85" i="12"/>
  <c r="H86" i="12"/>
  <c r="H87" i="12"/>
  <c r="H88" i="12"/>
  <c r="H89" i="12"/>
  <c r="H90" i="12"/>
  <c r="H91" i="12"/>
  <c r="H92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20" i="12"/>
  <c r="H121" i="12"/>
  <c r="H122" i="12"/>
  <c r="H123" i="12"/>
  <c r="H124" i="12"/>
  <c r="H125" i="12"/>
  <c r="H126" i="12"/>
  <c r="H127" i="12"/>
  <c r="H129" i="12"/>
  <c r="H130" i="12"/>
  <c r="H131" i="12"/>
  <c r="H133" i="12"/>
  <c r="H134" i="12"/>
  <c r="H135" i="12"/>
  <c r="H136" i="12"/>
  <c r="H139" i="12"/>
  <c r="H140" i="12"/>
  <c r="J5" i="12"/>
  <c r="J6" i="12"/>
  <c r="J7" i="12"/>
  <c r="J8" i="12"/>
  <c r="J10" i="12"/>
  <c r="J11" i="12"/>
  <c r="J12" i="12"/>
  <c r="J13" i="12"/>
  <c r="J14" i="12"/>
  <c r="J15" i="12"/>
  <c r="J16" i="12"/>
  <c r="J17" i="12"/>
  <c r="J19" i="12"/>
  <c r="J20" i="12"/>
  <c r="J22" i="12"/>
  <c r="J23" i="12"/>
  <c r="J24" i="12"/>
  <c r="J25" i="12"/>
  <c r="J27" i="12"/>
  <c r="J28" i="12"/>
  <c r="J29" i="12"/>
  <c r="J30" i="12"/>
  <c r="J31" i="12"/>
  <c r="J32" i="12"/>
  <c r="J33" i="12"/>
  <c r="J34" i="12"/>
  <c r="J36" i="12"/>
  <c r="J37" i="12"/>
  <c r="J38" i="12"/>
  <c r="J39" i="12"/>
  <c r="J40" i="12"/>
  <c r="J41" i="12"/>
  <c r="J42" i="12"/>
  <c r="J43" i="12"/>
  <c r="J44" i="12"/>
  <c r="J45" i="12"/>
  <c r="J48" i="12"/>
  <c r="J49" i="12"/>
  <c r="J50" i="12"/>
  <c r="J53" i="12"/>
  <c r="J54" i="12"/>
  <c r="J55" i="12"/>
  <c r="J56" i="12"/>
  <c r="J57" i="12"/>
  <c r="J58" i="12"/>
  <c r="J59" i="12"/>
  <c r="J60" i="12"/>
  <c r="J61" i="12"/>
  <c r="J62" i="12"/>
  <c r="J64" i="12"/>
  <c r="J65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3" i="12"/>
  <c r="J104" i="12"/>
  <c r="J105" i="12"/>
  <c r="J106" i="12"/>
  <c r="J107" i="12"/>
  <c r="J108" i="12"/>
  <c r="J109" i="12"/>
  <c r="J110" i="12"/>
  <c r="J111" i="12"/>
  <c r="J112" i="12"/>
  <c r="J113" i="12"/>
  <c r="J115" i="12"/>
  <c r="J116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8" i="12"/>
  <c r="J139" i="12"/>
  <c r="J140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5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8" i="12"/>
  <c r="L139" i="12"/>
  <c r="L140" i="12"/>
  <c r="M87" i="13"/>
  <c r="L87" i="13" s="1"/>
  <c r="K87" i="13"/>
  <c r="J87" i="13" s="1"/>
  <c r="G87" i="13"/>
  <c r="F87" i="13" s="1"/>
  <c r="K152" i="13"/>
  <c r="J152" i="13" s="1"/>
  <c r="G152" i="13"/>
  <c r="F152" i="13" s="1"/>
  <c r="F175" i="13"/>
  <c r="H175" i="13"/>
  <c r="J175" i="13"/>
  <c r="L175" i="13"/>
  <c r="F93" i="13"/>
  <c r="H93" i="13"/>
  <c r="J93" i="13"/>
  <c r="L93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8" i="13"/>
  <c r="L89" i="13"/>
  <c r="L90" i="13"/>
  <c r="L91" i="13"/>
  <c r="L92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50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7" i="13"/>
  <c r="L178" i="13"/>
  <c r="L179" i="13"/>
  <c r="L180" i="13"/>
  <c r="L181" i="13"/>
  <c r="L182" i="13"/>
  <c r="L183" i="13"/>
  <c r="L184" i="13"/>
  <c r="L185" i="13"/>
  <c r="J5" i="13"/>
  <c r="J6" i="13"/>
  <c r="J7" i="13"/>
  <c r="J8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5" i="13"/>
  <c r="J26" i="13"/>
  <c r="J28" i="13"/>
  <c r="J29" i="13"/>
  <c r="J30" i="13"/>
  <c r="J31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9" i="13"/>
  <c r="J50" i="13"/>
  <c r="J51" i="13"/>
  <c r="J52" i="13"/>
  <c r="J53" i="13"/>
  <c r="J54" i="13"/>
  <c r="J55" i="13"/>
  <c r="J56" i="13"/>
  <c r="J57" i="13"/>
  <c r="J58" i="13"/>
  <c r="J61" i="13"/>
  <c r="J62" i="13"/>
  <c r="J63" i="13"/>
  <c r="J66" i="13"/>
  <c r="J67" i="13"/>
  <c r="J68" i="13"/>
  <c r="J69" i="13"/>
  <c r="J70" i="13"/>
  <c r="J72" i="13"/>
  <c r="J74" i="13"/>
  <c r="J75" i="13"/>
  <c r="J76" i="13"/>
  <c r="J77" i="13"/>
  <c r="J78" i="13"/>
  <c r="J79" i="13"/>
  <c r="J80" i="13"/>
  <c r="J81" i="13"/>
  <c r="J82" i="13"/>
  <c r="J84" i="13"/>
  <c r="J85" i="13"/>
  <c r="J86" i="13"/>
  <c r="J88" i="13"/>
  <c r="J89" i="13"/>
  <c r="J90" i="13"/>
  <c r="J91" i="13"/>
  <c r="J92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50" i="13"/>
  <c r="J151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7" i="13"/>
  <c r="J178" i="13"/>
  <c r="J179" i="13"/>
  <c r="J180" i="13"/>
  <c r="J181" i="13"/>
  <c r="J182" i="13"/>
  <c r="J183" i="13"/>
  <c r="J185" i="13"/>
  <c r="H5" i="13"/>
  <c r="H6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6" i="13"/>
  <c r="H28" i="13"/>
  <c r="H30" i="13"/>
  <c r="H31" i="13"/>
  <c r="H32" i="13"/>
  <c r="H33" i="13"/>
  <c r="H34" i="13"/>
  <c r="H35" i="13"/>
  <c r="H37" i="13"/>
  <c r="H38" i="13"/>
  <c r="H39" i="13"/>
  <c r="H40" i="13"/>
  <c r="H41" i="13"/>
  <c r="H42" i="13"/>
  <c r="H43" i="13"/>
  <c r="H44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61" i="13"/>
  <c r="H63" i="13"/>
  <c r="H64" i="13"/>
  <c r="H65" i="13"/>
  <c r="H66" i="13"/>
  <c r="H67" i="13"/>
  <c r="H68" i="13"/>
  <c r="H69" i="13"/>
  <c r="H70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4" i="13"/>
  <c r="H95" i="13"/>
  <c r="H96" i="13"/>
  <c r="H97" i="13"/>
  <c r="H98" i="13"/>
  <c r="H99" i="13"/>
  <c r="H100" i="13"/>
  <c r="H101" i="13"/>
  <c r="H102" i="13"/>
  <c r="H103" i="13"/>
  <c r="H104" i="13"/>
  <c r="H106" i="13"/>
  <c r="H107" i="13"/>
  <c r="H108" i="13"/>
  <c r="H110" i="13"/>
  <c r="H111" i="13"/>
  <c r="H112" i="13"/>
  <c r="H113" i="13"/>
  <c r="H114" i="13"/>
  <c r="H116" i="13"/>
  <c r="H117" i="13"/>
  <c r="H118" i="13"/>
  <c r="H119" i="13"/>
  <c r="H120" i="13"/>
  <c r="H121" i="13"/>
  <c r="H122" i="13"/>
  <c r="H123" i="13"/>
  <c r="H124" i="13"/>
  <c r="H126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6" i="13"/>
  <c r="H157" i="13"/>
  <c r="H158" i="13"/>
  <c r="H159" i="13"/>
  <c r="H160" i="13"/>
  <c r="H161" i="13"/>
  <c r="H162" i="13"/>
  <c r="H163" i="13"/>
  <c r="H165" i="13"/>
  <c r="H166" i="13"/>
  <c r="H167" i="13"/>
  <c r="H168" i="13"/>
  <c r="H169" i="13"/>
  <c r="H171" i="13"/>
  <c r="H172" i="13"/>
  <c r="H173" i="13"/>
  <c r="H174" i="13"/>
  <c r="H177" i="13"/>
  <c r="H178" i="13"/>
  <c r="H179" i="13"/>
  <c r="H180" i="13"/>
  <c r="H181" i="13"/>
  <c r="H182" i="13"/>
  <c r="H183" i="13"/>
  <c r="H185" i="13"/>
  <c r="F5" i="13"/>
  <c r="F6" i="13"/>
  <c r="F10" i="13"/>
  <c r="F11" i="13"/>
  <c r="F12" i="13"/>
  <c r="F13" i="13"/>
  <c r="F14" i="13"/>
  <c r="F15" i="13"/>
  <c r="F17" i="13"/>
  <c r="F18" i="13"/>
  <c r="F19" i="13"/>
  <c r="F20" i="13"/>
  <c r="F21" i="13"/>
  <c r="F22" i="13"/>
  <c r="F23" i="13"/>
  <c r="F24" i="13"/>
  <c r="F28" i="13"/>
  <c r="F30" i="13"/>
  <c r="F31" i="13"/>
  <c r="F33" i="13"/>
  <c r="F34" i="13"/>
  <c r="F35" i="13"/>
  <c r="F37" i="13"/>
  <c r="F38" i="13"/>
  <c r="F39" i="13"/>
  <c r="F40" i="13"/>
  <c r="F41" i="13"/>
  <c r="F42" i="13"/>
  <c r="F44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61" i="13"/>
  <c r="F63" i="13"/>
  <c r="F64" i="13"/>
  <c r="F66" i="13"/>
  <c r="F67" i="13"/>
  <c r="F68" i="13"/>
  <c r="F69" i="13"/>
  <c r="F70" i="13"/>
  <c r="F74" i="13"/>
  <c r="F75" i="13"/>
  <c r="F76" i="13"/>
  <c r="F77" i="13"/>
  <c r="F78" i="13"/>
  <c r="F79" i="13"/>
  <c r="F80" i="13"/>
  <c r="F81" i="13"/>
  <c r="F82" i="13"/>
  <c r="F84" i="13"/>
  <c r="F85" i="13"/>
  <c r="F86" i="13"/>
  <c r="F88" i="13"/>
  <c r="F89" i="13"/>
  <c r="F90" i="13"/>
  <c r="F91" i="13"/>
  <c r="F94" i="13"/>
  <c r="F95" i="13"/>
  <c r="F96" i="13"/>
  <c r="F98" i="13"/>
  <c r="F99" i="13"/>
  <c r="F100" i="13"/>
  <c r="F101" i="13"/>
  <c r="F102" i="13"/>
  <c r="F103" i="13"/>
  <c r="F104" i="13"/>
  <c r="F106" i="13"/>
  <c r="F107" i="13"/>
  <c r="F108" i="13"/>
  <c r="F110" i="13"/>
  <c r="F111" i="13"/>
  <c r="F112" i="13"/>
  <c r="F113" i="13"/>
  <c r="F114" i="13"/>
  <c r="F116" i="13"/>
  <c r="F117" i="13"/>
  <c r="F118" i="13"/>
  <c r="F119" i="13"/>
  <c r="F120" i="13"/>
  <c r="F121" i="13"/>
  <c r="F122" i="13"/>
  <c r="F123" i="13"/>
  <c r="F124" i="13"/>
  <c r="F128" i="13"/>
  <c r="F129" i="13"/>
  <c r="F130" i="13"/>
  <c r="F131" i="13"/>
  <c r="F132" i="13"/>
  <c r="F133" i="13"/>
  <c r="F134" i="13"/>
  <c r="F137" i="13"/>
  <c r="F139" i="13"/>
  <c r="F140" i="13"/>
  <c r="F141" i="13"/>
  <c r="F142" i="13"/>
  <c r="F143" i="13"/>
  <c r="F144" i="13"/>
  <c r="F145" i="13"/>
  <c r="F146" i="13"/>
  <c r="F147" i="13"/>
  <c r="F148" i="13"/>
  <c r="F150" i="13"/>
  <c r="F153" i="13"/>
  <c r="F156" i="13"/>
  <c r="F157" i="13"/>
  <c r="F158" i="13"/>
  <c r="F159" i="13"/>
  <c r="F160" i="13"/>
  <c r="F161" i="13"/>
  <c r="F162" i="13"/>
  <c r="F163" i="13"/>
  <c r="F165" i="13"/>
  <c r="F166" i="13"/>
  <c r="F167" i="13"/>
  <c r="F168" i="13"/>
  <c r="F169" i="13"/>
  <c r="F171" i="13"/>
  <c r="F172" i="13"/>
  <c r="F173" i="13"/>
  <c r="F174" i="13"/>
  <c r="F177" i="13"/>
  <c r="F180" i="13"/>
  <c r="F182" i="13"/>
  <c r="F183" i="13"/>
  <c r="G185" i="13"/>
  <c r="F185" i="13" s="1"/>
  <c r="K184" i="13"/>
  <c r="J184" i="13" s="1"/>
  <c r="I184" i="13"/>
  <c r="H184" i="13" s="1"/>
  <c r="G184" i="13"/>
  <c r="F184" i="13" s="1"/>
  <c r="G181" i="13"/>
  <c r="F181" i="13" s="1"/>
  <c r="G179" i="13"/>
  <c r="F179" i="13" s="1"/>
  <c r="G126" i="13"/>
  <c r="F126" i="13" s="1"/>
  <c r="K115" i="13"/>
  <c r="J115" i="13" s="1"/>
  <c r="I115" i="13"/>
  <c r="H115" i="13" s="1"/>
  <c r="G115" i="13"/>
  <c r="F115" i="13" s="1"/>
  <c r="I92" i="13"/>
  <c r="H92" i="13" s="1"/>
  <c r="G92" i="13"/>
  <c r="F92" i="13" s="1"/>
  <c r="K73" i="13"/>
  <c r="J73" i="13" s="1"/>
  <c r="G73" i="13"/>
  <c r="F73" i="13" s="1"/>
  <c r="I72" i="13"/>
  <c r="H72" i="13" s="1"/>
  <c r="G72" i="13"/>
  <c r="F72" i="13" s="1"/>
  <c r="K71" i="13"/>
  <c r="J71" i="13" s="1"/>
  <c r="I71" i="13"/>
  <c r="H71" i="13" s="1"/>
  <c r="G71" i="13"/>
  <c r="F71" i="13" s="1"/>
  <c r="G46" i="13"/>
  <c r="F46" i="13" s="1"/>
  <c r="I45" i="13"/>
  <c r="H45" i="13" s="1"/>
  <c r="G45" i="13"/>
  <c r="F45" i="13" s="1"/>
  <c r="I36" i="13"/>
  <c r="H36" i="13" s="1"/>
  <c r="G36" i="13"/>
  <c r="F36" i="13" s="1"/>
  <c r="G16" i="13"/>
  <c r="F16" i="13" s="1"/>
  <c r="G178" i="13"/>
  <c r="F178" i="13" s="1"/>
  <c r="I176" i="13"/>
  <c r="H176" i="13" s="1"/>
  <c r="I170" i="13"/>
  <c r="H170" i="13" s="1"/>
  <c r="G170" i="13"/>
  <c r="F170" i="13" s="1"/>
  <c r="I164" i="13"/>
  <c r="H164" i="13" s="1"/>
  <c r="G164" i="13"/>
  <c r="F164" i="13" s="1"/>
  <c r="I155" i="13"/>
  <c r="H155" i="13" s="1"/>
  <c r="G155" i="13"/>
  <c r="F155" i="13" s="1"/>
  <c r="G154" i="13"/>
  <c r="F154" i="13" s="1"/>
  <c r="M151" i="13"/>
  <c r="L151" i="13" s="1"/>
  <c r="G151" i="13"/>
  <c r="F151" i="13" s="1"/>
  <c r="M149" i="13"/>
  <c r="L149" i="13" s="1"/>
  <c r="K149" i="13"/>
  <c r="J149" i="13" s="1"/>
  <c r="G149" i="13"/>
  <c r="F149" i="13" s="1"/>
  <c r="G138" i="13"/>
  <c r="F138" i="13" s="1"/>
  <c r="K136" i="13"/>
  <c r="J136" i="13" s="1"/>
  <c r="G136" i="13"/>
  <c r="F136" i="13" s="1"/>
  <c r="K135" i="13"/>
  <c r="J135" i="13" s="1"/>
  <c r="G135" i="13"/>
  <c r="F135" i="13" s="1"/>
  <c r="I127" i="13"/>
  <c r="H127" i="13" s="1"/>
  <c r="G127" i="13"/>
  <c r="F127" i="13" s="1"/>
  <c r="I125" i="13"/>
  <c r="H125" i="13" s="1"/>
  <c r="G125" i="13"/>
  <c r="F125" i="13" s="1"/>
  <c r="I109" i="13"/>
  <c r="H109" i="13" s="1"/>
  <c r="G109" i="13"/>
  <c r="F109" i="13" s="1"/>
  <c r="I105" i="13"/>
  <c r="H105" i="13" s="1"/>
  <c r="G105" i="13"/>
  <c r="F105" i="13" s="1"/>
  <c r="G97" i="13"/>
  <c r="F97" i="13" s="1"/>
  <c r="K83" i="13"/>
  <c r="J83" i="13" s="1"/>
  <c r="G83" i="13"/>
  <c r="F83" i="13" s="1"/>
  <c r="K65" i="13"/>
  <c r="J65" i="13" s="1"/>
  <c r="G65" i="13"/>
  <c r="F65" i="13" s="1"/>
  <c r="K64" i="13"/>
  <c r="J64" i="13" s="1"/>
  <c r="I62" i="13"/>
  <c r="H62" i="13" s="1"/>
  <c r="G62" i="13"/>
  <c r="F62" i="13" s="1"/>
  <c r="K60" i="13"/>
  <c r="J60" i="13" s="1"/>
  <c r="I60" i="13"/>
  <c r="H60" i="13" s="1"/>
  <c r="G60" i="13"/>
  <c r="F60" i="13" s="1"/>
  <c r="M59" i="13"/>
  <c r="L59" i="13" s="1"/>
  <c r="K59" i="13"/>
  <c r="J59" i="13" s="1"/>
  <c r="I59" i="13"/>
  <c r="H59" i="13" s="1"/>
  <c r="G59" i="13"/>
  <c r="F59" i="13" s="1"/>
  <c r="K48" i="13"/>
  <c r="J48" i="13" s="1"/>
  <c r="G43" i="13"/>
  <c r="F43" i="13" s="1"/>
  <c r="K32" i="13"/>
  <c r="J32" i="13" s="1"/>
  <c r="G32" i="13"/>
  <c r="F32" i="13" s="1"/>
  <c r="I29" i="13"/>
  <c r="H29" i="13" s="1"/>
  <c r="G29" i="13"/>
  <c r="F29" i="13" s="1"/>
  <c r="K27" i="13"/>
  <c r="J27" i="13" s="1"/>
  <c r="I27" i="13"/>
  <c r="H27" i="13" s="1"/>
  <c r="G27" i="13"/>
  <c r="F27" i="13" s="1"/>
  <c r="G26" i="13"/>
  <c r="F26" i="13" s="1"/>
  <c r="I25" i="13"/>
  <c r="H25" i="13" s="1"/>
  <c r="G25" i="13"/>
  <c r="F25" i="13" s="1"/>
  <c r="M24" i="13"/>
  <c r="L24" i="13" s="1"/>
  <c r="K24" i="13"/>
  <c r="J24" i="13" s="1"/>
  <c r="K9" i="13"/>
  <c r="J9" i="13" s="1"/>
  <c r="I9" i="13"/>
  <c r="H9" i="13" s="1"/>
  <c r="G9" i="13"/>
  <c r="F9" i="13" s="1"/>
  <c r="I8" i="13"/>
  <c r="H8" i="13" s="1"/>
  <c r="G8" i="13"/>
  <c r="F8" i="13" s="1"/>
  <c r="I7" i="13"/>
  <c r="H7" i="13" s="1"/>
  <c r="G7" i="13"/>
  <c r="F7" i="13" s="1"/>
  <c r="I41" i="11"/>
  <c r="K41" i="11"/>
  <c r="G41" i="11"/>
  <c r="G20" i="11"/>
  <c r="I20" i="11"/>
  <c r="K186" i="13" l="1"/>
  <c r="M186" i="13"/>
  <c r="G186" i="13"/>
  <c r="I186" i="13"/>
  <c r="F186" i="13"/>
  <c r="H186" i="13"/>
  <c r="J186" i="13"/>
  <c r="L186" i="13"/>
  <c r="I84" i="12" l="1"/>
  <c r="H84" i="12" s="1"/>
  <c r="G84" i="12"/>
  <c r="F84" i="12" s="1"/>
  <c r="G72" i="12"/>
  <c r="F72" i="12" s="1"/>
  <c r="K35" i="12"/>
  <c r="J35" i="12" s="1"/>
  <c r="I23" i="12"/>
  <c r="H23" i="12" s="1"/>
  <c r="G23" i="12"/>
  <c r="F23" i="12" s="1"/>
  <c r="G8" i="12"/>
  <c r="F8" i="12" s="1"/>
  <c r="G140" i="12"/>
  <c r="F140" i="12" s="1"/>
  <c r="I138" i="12"/>
  <c r="H138" i="12" s="1"/>
  <c r="G138" i="12"/>
  <c r="F138" i="12" s="1"/>
  <c r="I132" i="12"/>
  <c r="H132" i="12" s="1"/>
  <c r="G132" i="12"/>
  <c r="F132" i="12" s="1"/>
  <c r="I128" i="12"/>
  <c r="H128" i="12" s="1"/>
  <c r="G128" i="12"/>
  <c r="F128" i="12" s="1"/>
  <c r="I119" i="12"/>
  <c r="H119" i="12" s="1"/>
  <c r="G119" i="12"/>
  <c r="F119" i="12" s="1"/>
  <c r="G118" i="12"/>
  <c r="F118" i="12" s="1"/>
  <c r="M116" i="12"/>
  <c r="L116" i="12" s="1"/>
  <c r="G116" i="12"/>
  <c r="F116" i="12" s="1"/>
  <c r="M114" i="12"/>
  <c r="L114" i="12" s="1"/>
  <c r="K114" i="12"/>
  <c r="J114" i="12" s="1"/>
  <c r="G114" i="12"/>
  <c r="F114" i="12" s="1"/>
  <c r="G104" i="12"/>
  <c r="F104" i="12" s="1"/>
  <c r="K102" i="12"/>
  <c r="J102" i="12" s="1"/>
  <c r="G102" i="12"/>
  <c r="F102" i="12" s="1"/>
  <c r="K101" i="12"/>
  <c r="J101" i="12" s="1"/>
  <c r="G101" i="12"/>
  <c r="F101" i="12" s="1"/>
  <c r="I94" i="12"/>
  <c r="H94" i="12" s="1"/>
  <c r="G94" i="12"/>
  <c r="F94" i="12" s="1"/>
  <c r="I93" i="12"/>
  <c r="H93" i="12" s="1"/>
  <c r="G93" i="12"/>
  <c r="F93" i="12" s="1"/>
  <c r="I80" i="12"/>
  <c r="H80" i="12" s="1"/>
  <c r="G80" i="12"/>
  <c r="F80" i="12" s="1"/>
  <c r="K63" i="12"/>
  <c r="J63" i="12" s="1"/>
  <c r="G63" i="12"/>
  <c r="F63" i="12" s="1"/>
  <c r="K52" i="12"/>
  <c r="J52" i="12" s="1"/>
  <c r="G52" i="12"/>
  <c r="F52" i="12" s="1"/>
  <c r="K51" i="12"/>
  <c r="J51" i="12" s="1"/>
  <c r="I49" i="12"/>
  <c r="H49" i="12" s="1"/>
  <c r="G49" i="12"/>
  <c r="F49" i="12" s="1"/>
  <c r="K47" i="12"/>
  <c r="J47" i="12" s="1"/>
  <c r="I47" i="12"/>
  <c r="H47" i="12" s="1"/>
  <c r="G47" i="12"/>
  <c r="F47" i="12" s="1"/>
  <c r="M46" i="12"/>
  <c r="L46" i="12" s="1"/>
  <c r="K46" i="12"/>
  <c r="J46" i="12" s="1"/>
  <c r="I46" i="12"/>
  <c r="H46" i="12" s="1"/>
  <c r="G46" i="12"/>
  <c r="F46" i="12" s="1"/>
  <c r="G33" i="12"/>
  <c r="F33" i="12" s="1"/>
  <c r="K26" i="12"/>
  <c r="J26" i="12" s="1"/>
  <c r="G26" i="12"/>
  <c r="F26" i="12" s="1"/>
  <c r="K21" i="12"/>
  <c r="J21" i="12" s="1"/>
  <c r="I21" i="12"/>
  <c r="H21" i="12" s="1"/>
  <c r="G21" i="12"/>
  <c r="F21" i="12" s="1"/>
  <c r="G20" i="12"/>
  <c r="F20" i="12" s="1"/>
  <c r="I19" i="12"/>
  <c r="H19" i="12" s="1"/>
  <c r="G19" i="12"/>
  <c r="F19" i="12" s="1"/>
  <c r="M18" i="12"/>
  <c r="L18" i="12" s="1"/>
  <c r="K18" i="12"/>
  <c r="J18" i="12" s="1"/>
  <c r="K9" i="12"/>
  <c r="J9" i="12" s="1"/>
  <c r="I9" i="12"/>
  <c r="H9" i="12" s="1"/>
  <c r="G9" i="12"/>
  <c r="F9" i="12" s="1"/>
  <c r="I8" i="12"/>
  <c r="H8" i="12" s="1"/>
  <c r="I7" i="12"/>
  <c r="H7" i="12" s="1"/>
  <c r="G7" i="12"/>
  <c r="F7" i="12" s="1"/>
  <c r="G16" i="11"/>
  <c r="F16" i="11" s="1"/>
  <c r="I16" i="11"/>
  <c r="H16" i="11" s="1"/>
  <c r="J16" i="11"/>
  <c r="L16" i="11"/>
  <c r="F17" i="11"/>
  <c r="H17" i="11"/>
  <c r="J17" i="11"/>
  <c r="L17" i="11"/>
  <c r="L65" i="11"/>
  <c r="J65" i="11"/>
  <c r="H65" i="11"/>
  <c r="G65" i="11"/>
  <c r="F65" i="11" s="1"/>
  <c r="L64" i="11"/>
  <c r="K64" i="11"/>
  <c r="J64" i="11" s="1"/>
  <c r="I64" i="11"/>
  <c r="H64" i="11" s="1"/>
  <c r="G64" i="11"/>
  <c r="F64" i="11" s="1"/>
  <c r="L63" i="11"/>
  <c r="J63" i="11"/>
  <c r="H63" i="11"/>
  <c r="F63" i="11"/>
  <c r="L62" i="11"/>
  <c r="J62" i="11"/>
  <c r="H62" i="11"/>
  <c r="F62" i="11"/>
  <c r="L61" i="11"/>
  <c r="J61" i="11"/>
  <c r="H61" i="11"/>
  <c r="G61" i="11"/>
  <c r="F61" i="11" s="1"/>
  <c r="L60" i="11"/>
  <c r="J60" i="11"/>
  <c r="H60" i="11"/>
  <c r="F60" i="11"/>
  <c r="L59" i="11"/>
  <c r="J59" i="11"/>
  <c r="H59" i="11"/>
  <c r="G59" i="11"/>
  <c r="F59" i="11" s="1"/>
  <c r="L58" i="11"/>
  <c r="J58" i="11"/>
  <c r="H58" i="11"/>
  <c r="F58" i="11"/>
  <c r="L57" i="11"/>
  <c r="J57" i="11"/>
  <c r="H57" i="11"/>
  <c r="F57" i="11"/>
  <c r="L56" i="11"/>
  <c r="J56" i="11"/>
  <c r="H56" i="11"/>
  <c r="F56" i="11"/>
  <c r="L55" i="11"/>
  <c r="J55" i="11"/>
  <c r="H55" i="11"/>
  <c r="F55" i="11"/>
  <c r="L54" i="11"/>
  <c r="J54" i="11"/>
  <c r="H54" i="11"/>
  <c r="F54" i="11"/>
  <c r="L53" i="11"/>
  <c r="J53" i="11"/>
  <c r="H53" i="11"/>
  <c r="F53" i="11"/>
  <c r="L52" i="11"/>
  <c r="J52" i="11"/>
  <c r="H52" i="11"/>
  <c r="F52" i="11"/>
  <c r="L51" i="11"/>
  <c r="J51" i="11"/>
  <c r="H51" i="11"/>
  <c r="F51" i="11"/>
  <c r="L50" i="11"/>
  <c r="J50" i="11"/>
  <c r="H50" i="11"/>
  <c r="F50" i="11"/>
  <c r="L49" i="11"/>
  <c r="J49" i="11"/>
  <c r="H49" i="11"/>
  <c r="F49" i="11"/>
  <c r="L48" i="11"/>
  <c r="J48" i="11"/>
  <c r="H48" i="11"/>
  <c r="F48" i="11"/>
  <c r="L47" i="11"/>
  <c r="J47" i="11"/>
  <c r="H47" i="11"/>
  <c r="G47" i="11"/>
  <c r="F47" i="11" s="1"/>
  <c r="L46" i="11"/>
  <c r="J46" i="11"/>
  <c r="H46" i="11"/>
  <c r="F46" i="11"/>
  <c r="L45" i="11"/>
  <c r="J45" i="11"/>
  <c r="H45" i="11"/>
  <c r="F45" i="11"/>
  <c r="L44" i="11"/>
  <c r="J44" i="11"/>
  <c r="H44" i="11"/>
  <c r="F44" i="11"/>
  <c r="L43" i="11"/>
  <c r="J43" i="11"/>
  <c r="H43" i="11"/>
  <c r="F43" i="11"/>
  <c r="L42" i="11"/>
  <c r="J42" i="11"/>
  <c r="H42" i="11"/>
  <c r="F42" i="11"/>
  <c r="L41" i="11"/>
  <c r="J41" i="11"/>
  <c r="H41" i="11"/>
  <c r="F41" i="11"/>
  <c r="L40" i="11"/>
  <c r="J40" i="11"/>
  <c r="H40" i="11"/>
  <c r="F40" i="11"/>
  <c r="L39" i="11"/>
  <c r="J39" i="11"/>
  <c r="H39" i="11"/>
  <c r="F39" i="11"/>
  <c r="L38" i="11"/>
  <c r="J38" i="11"/>
  <c r="H38" i="11"/>
  <c r="F38" i="11"/>
  <c r="L37" i="11"/>
  <c r="J37" i="11"/>
  <c r="H37" i="11"/>
  <c r="F37" i="11"/>
  <c r="L36" i="11"/>
  <c r="J36" i="11"/>
  <c r="I36" i="11"/>
  <c r="H36" i="11" s="1"/>
  <c r="G36" i="11"/>
  <c r="F36" i="11" s="1"/>
  <c r="L34" i="11"/>
  <c r="J34" i="11"/>
  <c r="H34" i="11"/>
  <c r="F34" i="11"/>
  <c r="L33" i="11"/>
  <c r="J33" i="11"/>
  <c r="H33" i="11"/>
  <c r="F33" i="11"/>
  <c r="L32" i="11"/>
  <c r="J32" i="11"/>
  <c r="H32" i="11"/>
  <c r="F32" i="11"/>
  <c r="L31" i="11"/>
  <c r="J31" i="11"/>
  <c r="H31" i="11"/>
  <c r="F31" i="11"/>
  <c r="L30" i="11"/>
  <c r="J30" i="11"/>
  <c r="H30" i="11"/>
  <c r="F30" i="11"/>
  <c r="L29" i="11"/>
  <c r="J29" i="11"/>
  <c r="H29" i="11"/>
  <c r="F29" i="11"/>
  <c r="L28" i="11"/>
  <c r="K28" i="11"/>
  <c r="J28" i="11" s="1"/>
  <c r="H28" i="11"/>
  <c r="G28" i="11"/>
  <c r="F28" i="11" s="1"/>
  <c r="L27" i="11"/>
  <c r="J27" i="11"/>
  <c r="I27" i="11"/>
  <c r="H27" i="11" s="1"/>
  <c r="G27" i="11"/>
  <c r="F27" i="11" s="1"/>
  <c r="L26" i="11"/>
  <c r="K26" i="11"/>
  <c r="J26" i="11" s="1"/>
  <c r="I26" i="11"/>
  <c r="H26" i="11" s="1"/>
  <c r="G26" i="11"/>
  <c r="F26" i="11" s="1"/>
  <c r="L25" i="11"/>
  <c r="J25" i="11"/>
  <c r="H25" i="11"/>
  <c r="F25" i="11"/>
  <c r="L24" i="11"/>
  <c r="J24" i="11"/>
  <c r="H24" i="11"/>
  <c r="F24" i="11"/>
  <c r="L23" i="11"/>
  <c r="J23" i="11"/>
  <c r="H23" i="11"/>
  <c r="F23" i="11"/>
  <c r="L22" i="11"/>
  <c r="J22" i="11"/>
  <c r="H22" i="11"/>
  <c r="F22" i="11"/>
  <c r="L21" i="11"/>
  <c r="J21" i="11"/>
  <c r="H21" i="11"/>
  <c r="G21" i="11"/>
  <c r="F21" i="11" s="1"/>
  <c r="L20" i="11"/>
  <c r="J20" i="11"/>
  <c r="H20" i="11"/>
  <c r="F20" i="11"/>
  <c r="L19" i="11"/>
  <c r="J19" i="11"/>
  <c r="H19" i="11"/>
  <c r="F19" i="11"/>
  <c r="L18" i="11"/>
  <c r="J18" i="11"/>
  <c r="H18" i="11"/>
  <c r="F18" i="11"/>
  <c r="L15" i="11"/>
  <c r="J15" i="11"/>
  <c r="H15" i="11"/>
  <c r="F15" i="11"/>
  <c r="L14" i="11"/>
  <c r="J14" i="11"/>
  <c r="H14" i="11"/>
  <c r="F14" i="11"/>
  <c r="L13" i="11"/>
  <c r="J13" i="11"/>
  <c r="H13" i="11"/>
  <c r="F13" i="11"/>
  <c r="L12" i="11"/>
  <c r="J12" i="11"/>
  <c r="H12" i="11"/>
  <c r="F12" i="11"/>
  <c r="L11" i="11"/>
  <c r="J11" i="11"/>
  <c r="H11" i="11"/>
  <c r="F11" i="11"/>
  <c r="L10" i="11"/>
  <c r="J10" i="11"/>
  <c r="H10" i="11"/>
  <c r="F10" i="11"/>
  <c r="L9" i="11"/>
  <c r="J9" i="11"/>
  <c r="H9" i="11"/>
  <c r="F9" i="11"/>
  <c r="L8" i="11"/>
  <c r="J8" i="11"/>
  <c r="H8" i="11"/>
  <c r="G8" i="11"/>
  <c r="F8" i="11" s="1"/>
  <c r="L7" i="11"/>
  <c r="J7" i="11"/>
  <c r="H7" i="11"/>
  <c r="F7" i="11"/>
  <c r="L6" i="11"/>
  <c r="J6" i="11"/>
  <c r="H6" i="11"/>
  <c r="F6" i="11"/>
  <c r="L5" i="11"/>
  <c r="J5" i="11"/>
  <c r="H5" i="11"/>
  <c r="F5" i="11"/>
  <c r="M141" i="12" l="1"/>
  <c r="K141" i="12"/>
  <c r="J141" i="12"/>
  <c r="I141" i="12"/>
  <c r="G141" i="12"/>
  <c r="L141" i="12"/>
  <c r="F141" i="12"/>
  <c r="H141" i="12"/>
  <c r="I66" i="11"/>
  <c r="F66" i="11"/>
  <c r="H66" i="11"/>
  <c r="J66" i="11"/>
  <c r="L66" i="11"/>
  <c r="M66" i="11"/>
  <c r="K66" i="11"/>
  <c r="G66" i="11"/>
</calcChain>
</file>

<file path=xl/sharedStrings.xml><?xml version="1.0" encoding="utf-8"?>
<sst xmlns="http://schemas.openxmlformats.org/spreadsheetml/2006/main" count="773" uniqueCount="271">
  <si>
    <t>ROAD</t>
  </si>
  <si>
    <t>ROAD SEGMENT (CENTERLINE LENGTH)</t>
  </si>
  <si>
    <t>SOLID YELLOW          (CENTERLINE LENGTH)</t>
  </si>
  <si>
    <t>SOLID WHITE                     (CENTERLINE LENGTH)</t>
  </si>
  <si>
    <t>DASH WHITE                (CENTERLINE LENGTH *.25)</t>
  </si>
  <si>
    <t>County Road 20</t>
  </si>
  <si>
    <t>County Road 3</t>
  </si>
  <si>
    <t>County Road 20 - County Road 22</t>
  </si>
  <si>
    <t>County Road 100</t>
  </si>
  <si>
    <t>County Road 26</t>
  </si>
  <si>
    <t>County Road 7</t>
  </si>
  <si>
    <t>County Road 26 - W Mishiwaka Rd</t>
  </si>
  <si>
    <t>County Road 9</t>
  </si>
  <si>
    <t>County Road 111</t>
  </si>
  <si>
    <t>US Highway 33 - County Road 18</t>
  </si>
  <si>
    <t>County Road 18 - County Road 118</t>
  </si>
  <si>
    <t>County Road 15</t>
  </si>
  <si>
    <t xml:space="preserve">County Road 50 </t>
  </si>
  <si>
    <t>County Road 29</t>
  </si>
  <si>
    <t xml:space="preserve">County Road 31 </t>
  </si>
  <si>
    <t>County Road 42</t>
  </si>
  <si>
    <t>County Road 23</t>
  </si>
  <si>
    <t xml:space="preserve">County Road 23 </t>
  </si>
  <si>
    <t>Main St - US Highway 6</t>
  </si>
  <si>
    <t>County Road 3N - Ash Road</t>
  </si>
  <si>
    <t>County Road 8</t>
  </si>
  <si>
    <t>County Road 10</t>
  </si>
  <si>
    <t>County Road 5</t>
  </si>
  <si>
    <t>County Road 6</t>
  </si>
  <si>
    <t>Interstate Highway 80/90 - Elkhart Rd</t>
  </si>
  <si>
    <t>County Road 4</t>
  </si>
  <si>
    <t>Country Club Dr - Merill St</t>
  </si>
  <si>
    <t>County Road 11</t>
  </si>
  <si>
    <t>Elkhart East Blvd - County Road 21</t>
  </si>
  <si>
    <t>County Road 34</t>
  </si>
  <si>
    <t>County Road 35</t>
  </si>
  <si>
    <t>County Road 40</t>
  </si>
  <si>
    <t>Dierdoff Rd - County Road 37</t>
  </si>
  <si>
    <t>County Road 19</t>
  </si>
  <si>
    <t>US Highway 20 - Indiana Ave</t>
  </si>
  <si>
    <t>County Road 21</t>
  </si>
  <si>
    <t>County Road 28</t>
  </si>
  <si>
    <t>Bashor Rd - State Road 19</t>
  </si>
  <si>
    <t>Goshen City Limits (West of Violet Rd) - State Road 19</t>
  </si>
  <si>
    <t>County Road 52</t>
  </si>
  <si>
    <t>State Road 19 - County Road 3</t>
  </si>
  <si>
    <t>State Road 19 - County Road 7</t>
  </si>
  <si>
    <t xml:space="preserve">County Road 22 - US Highway 20 </t>
  </si>
  <si>
    <t>County Road 14</t>
  </si>
  <si>
    <t>County Road 2</t>
  </si>
  <si>
    <t>ROAD NAME</t>
  </si>
  <si>
    <t>BETWEEN ROADS</t>
  </si>
  <si>
    <t>MILES</t>
  </si>
  <si>
    <t>FEET</t>
  </si>
  <si>
    <t>TOWNSHIP</t>
  </si>
  <si>
    <t>TWP NAME</t>
  </si>
  <si>
    <t>W Mishawaka Rd</t>
  </si>
  <si>
    <t>County Road 3 - County Road 113</t>
  </si>
  <si>
    <t>S County Line Rd - State Road 15</t>
  </si>
  <si>
    <t>County Road 46 - County Road 29</t>
  </si>
  <si>
    <t>Rogers Rd - County Road 4</t>
  </si>
  <si>
    <t>County Road 10 - County Road 21</t>
  </si>
  <si>
    <t>US Highway 20 - Gunder Rd</t>
  </si>
  <si>
    <t>US Highway 20 - County Road 20</t>
  </si>
  <si>
    <t>Berkey Ave - County Road 9</t>
  </si>
  <si>
    <t>State Road 15 - County Road 7</t>
  </si>
  <si>
    <t>County Road 113</t>
  </si>
  <si>
    <t>County Road 17 (SB)</t>
  </si>
  <si>
    <t>County Road 17 (NB)</t>
  </si>
  <si>
    <t>County Road 27</t>
  </si>
  <si>
    <t>Missouri Ave</t>
  </si>
  <si>
    <t>Old County Road 17</t>
  </si>
  <si>
    <t>Reliance Rd - Dead-End</t>
  </si>
  <si>
    <t>State Line Rd</t>
  </si>
  <si>
    <t>Old US 20</t>
  </si>
  <si>
    <t>Old US 33</t>
  </si>
  <si>
    <t>MILES2</t>
  </si>
  <si>
    <t>FEET3</t>
  </si>
  <si>
    <t>MILES4</t>
  </si>
  <si>
    <t>FEET5</t>
  </si>
  <si>
    <t>MILES6</t>
  </si>
  <si>
    <t>FEET7</t>
  </si>
  <si>
    <t>MILES8</t>
  </si>
  <si>
    <t>FEET9</t>
  </si>
  <si>
    <t>State Road 15 - Alley South of 5th St.</t>
  </si>
  <si>
    <t xml:space="preserve"> Ash Road - Waterford St</t>
  </si>
  <si>
    <t>Brentwood Dr - Lincoln St</t>
  </si>
  <si>
    <t>Lincoln St - County Road 43</t>
  </si>
  <si>
    <t>Clayton St - County Road 17</t>
  </si>
  <si>
    <t>Gunder Rd - State Road 15</t>
  </si>
  <si>
    <t>DASH YELLOW  (CENTERLINE LENGTH * .25)</t>
  </si>
  <si>
    <t>Ridgeview Dr - County Road 146</t>
  </si>
  <si>
    <t>Belmar Dr - County Road 20</t>
  </si>
  <si>
    <t>Zollinger Rd  - County Road 37</t>
  </si>
  <si>
    <t>Corwin Rd</t>
  </si>
  <si>
    <t>County Road 108</t>
  </si>
  <si>
    <t>County Road 40 - State Road 119</t>
  </si>
  <si>
    <t>County Road 12</t>
  </si>
  <si>
    <t>US 20 &amp; Twin Oaks Dr.</t>
  </si>
  <si>
    <t>US 33 &amp; US 6</t>
  </si>
  <si>
    <t>US 6 &amp; S County Line Rd</t>
  </si>
  <si>
    <t>S County Line Rd</t>
  </si>
  <si>
    <t>E County Line Rd</t>
  </si>
  <si>
    <t>State Line &amp; I80/90</t>
  </si>
  <si>
    <t>Pine Arbor Dr &amp; Meadowood Dr</t>
  </si>
  <si>
    <t>Lewis St</t>
  </si>
  <si>
    <t>Arlene Ave &amp; US 33</t>
  </si>
  <si>
    <t>Minuteman Way</t>
  </si>
  <si>
    <t>Goshen City Limits &amp; Ash Rd</t>
  </si>
  <si>
    <t>Karen Ave &amp; Old US 20</t>
  </si>
  <si>
    <t>W Bristol St &amp; John Weaver Pkwy</t>
  </si>
  <si>
    <t>US 33 &amp; US 20</t>
  </si>
  <si>
    <t>E Mishawaka Rd</t>
  </si>
  <si>
    <t>River Park Dr &amp; East County Line</t>
  </si>
  <si>
    <t>Railroad to S County Line</t>
  </si>
  <si>
    <t>County Road 24 &amp; W Mishawaka Rd</t>
  </si>
  <si>
    <t>County Road 24</t>
  </si>
  <si>
    <t>Charlotte Ave &amp; County Road 3</t>
  </si>
  <si>
    <t>County Road 22</t>
  </si>
  <si>
    <t>County Road 16</t>
  </si>
  <si>
    <t>County Road 1</t>
  </si>
  <si>
    <t>County Road 18 &amp; County Road 20</t>
  </si>
  <si>
    <t>Old US 33 &amp; County Road 16</t>
  </si>
  <si>
    <t>County Road 50</t>
  </si>
  <si>
    <t>County Road 43</t>
  </si>
  <si>
    <t>County Road 33</t>
  </si>
  <si>
    <t>Ash Rd &amp; County Road 1</t>
  </si>
  <si>
    <t>County Road 101 &amp; Ash Rd</t>
  </si>
  <si>
    <t>County Road 10 &amp; County Road 108</t>
  </si>
  <si>
    <t>State Line &amp; County Road 5</t>
  </si>
  <si>
    <t>Ash Rd &amp; County Road 3</t>
  </si>
  <si>
    <t>County Road 101 &amp; County Road 3</t>
  </si>
  <si>
    <t>County Road 3 &amp; Ash Rd</t>
  </si>
  <si>
    <t>County Road 12 &amp; County Road 10</t>
  </si>
  <si>
    <t>County Road 10  &amp; County Road 4</t>
  </si>
  <si>
    <t>County Road 38</t>
  </si>
  <si>
    <t>County Road 36</t>
  </si>
  <si>
    <t>HillCounty Roadest Dr - County Road 35</t>
  </si>
  <si>
    <t>County Road 32</t>
  </si>
  <si>
    <t>County Road 31</t>
  </si>
  <si>
    <t>County Road 17 &amp; County Road 45</t>
  </si>
  <si>
    <t>County Road 20 &amp; County Road 13</t>
  </si>
  <si>
    <t>Desmond Ave &amp; County Road 30</t>
  </si>
  <si>
    <t>County Road 45</t>
  </si>
  <si>
    <t>County Road 9 &amp; County Road 13</t>
  </si>
  <si>
    <t>County Road 111 (Clayton Ave) &amp; County Road 9</t>
  </si>
  <si>
    <t>C Ln &amp; County Road 105</t>
  </si>
  <si>
    <t>County Road 13</t>
  </si>
  <si>
    <t>Parkwood Pl &amp; County Road 18</t>
  </si>
  <si>
    <t>County Road 18 &amp; Linden Dr</t>
  </si>
  <si>
    <t>US 33 &amp; County Road 32</t>
  </si>
  <si>
    <t>County Road 115</t>
  </si>
  <si>
    <t>County Road 22 &amp; County Road 26</t>
  </si>
  <si>
    <t>County Road 27 &amp; Goshen City Limits (Tree Line)</t>
  </si>
  <si>
    <t>County Road 17</t>
  </si>
  <si>
    <t>County Road 28 &amp; County Road 30</t>
  </si>
  <si>
    <t>County Road 30</t>
  </si>
  <si>
    <t>County Road 36 &amp; County Road 38</t>
  </si>
  <si>
    <t>County Road 29 &amp; County Road 31</t>
  </si>
  <si>
    <t>County Road 46</t>
  </si>
  <si>
    <t>County Road 146</t>
  </si>
  <si>
    <t>County Road 142</t>
  </si>
  <si>
    <t>County Road 29 &amp; County Road 17</t>
  </si>
  <si>
    <t>County Road 29 &amp; County Road 42</t>
  </si>
  <si>
    <t>County Road 14 &amp; County Road 8</t>
  </si>
  <si>
    <t>US 20 &amp; County Road 14</t>
  </si>
  <si>
    <t>County Road 26 &amp; County Road 20</t>
  </si>
  <si>
    <t>County Road 18</t>
  </si>
  <si>
    <t>County Road 29 &amp; Clayton Ave</t>
  </si>
  <si>
    <t>Parkway Ave. &amp; County Road 21</t>
  </si>
  <si>
    <t>County Road 126</t>
  </si>
  <si>
    <t>County Road 19 &amp; County Road 26</t>
  </si>
  <si>
    <t>Arnott St &amp; County Road 50</t>
  </si>
  <si>
    <t>W County Line Rd &amp; County Road 46</t>
  </si>
  <si>
    <t>County Road 14 &amp; County Road 22</t>
  </si>
  <si>
    <t>County Road 22 &amp; County Road 28</t>
  </si>
  <si>
    <t>County Road 43 &amp; Middlebury City Limits</t>
  </si>
  <si>
    <t>County Road 33 &amp; Middlebury City Limits</t>
  </si>
  <si>
    <t>County Road 131 &amp; County Road 33</t>
  </si>
  <si>
    <t>Wakarusa City Limits &amp; County Road 30</t>
  </si>
  <si>
    <t>County Roadeekside Ln - Winding Waters Ln</t>
  </si>
  <si>
    <t>County Road 9 &amp; Higgins Blvd</t>
  </si>
  <si>
    <t>State Line Rd &amp; County Road 104</t>
  </si>
  <si>
    <t>County Road 10 &amp; Newton Dr</t>
  </si>
  <si>
    <t>I80/90 &amp; County Road 4</t>
  </si>
  <si>
    <t>County Road 106 &amp; County Road 4</t>
  </si>
  <si>
    <t>County Road 4 &amp; State Line Rd</t>
  </si>
  <si>
    <t>County Road 54 &amp; US 6</t>
  </si>
  <si>
    <t>County Road 11 &amp; County Road 146</t>
  </si>
  <si>
    <t>County Road 104 &amp; County Road 8</t>
  </si>
  <si>
    <t>County Road 19 &amp; County Road 23</t>
  </si>
  <si>
    <t xml:space="preserve">County Road 19 </t>
  </si>
  <si>
    <t>County Road 104</t>
  </si>
  <si>
    <t>County Road 21 &amp; County Road 23</t>
  </si>
  <si>
    <t>County Road 4 &amp; County Road 2</t>
  </si>
  <si>
    <t>County Road 2 &amp; State Line</t>
  </si>
  <si>
    <t>County Road 2 &amp; County Road 8</t>
  </si>
  <si>
    <t>E County Line &amp; County Road 35</t>
  </si>
  <si>
    <t>County Road 8 &amp; County Road 39</t>
  </si>
  <si>
    <t>County Road 101</t>
  </si>
  <si>
    <t>Baugo</t>
  </si>
  <si>
    <t>Cleveland</t>
  </si>
  <si>
    <t>Benton</t>
  </si>
  <si>
    <t>North Bentond Dr - County Road 2</t>
  </si>
  <si>
    <t>State Road 19 &amp; Ash Rd</t>
  </si>
  <si>
    <t>State Road 13 &amp; County Road 37</t>
  </si>
  <si>
    <t>E County Line &amp; State Road 13</t>
  </si>
  <si>
    <t>E County Line Rd &amp; State Road 13</t>
  </si>
  <si>
    <t>State Road 13 &amp; Goshen City Limits</t>
  </si>
  <si>
    <t>County Road 41 &amp; State Road 13</t>
  </si>
  <si>
    <t>State Road 120 &amp; Wyland Dr</t>
  </si>
  <si>
    <t>Willows Way &amp; State Road 119</t>
  </si>
  <si>
    <t>County Road 27 &amp; State Road 15</t>
  </si>
  <si>
    <t>State Road 15 &amp; County Road 21</t>
  </si>
  <si>
    <t>State Road 15 &amp; Old County Road 17</t>
  </si>
  <si>
    <t>State Road 120 &amp; County Road 14</t>
  </si>
  <si>
    <t>State Road 19 &amp; County Road 17</t>
  </si>
  <si>
    <t>State Road 119 &amp; County Road 52</t>
  </si>
  <si>
    <t>State Road 19 &amp; County Road 7</t>
  </si>
  <si>
    <t>State Road 120 &amp; County Road 16</t>
  </si>
  <si>
    <t>State Road 15 &amp; County Road 35</t>
  </si>
  <si>
    <t>Clinton</t>
  </si>
  <si>
    <t>Concord</t>
  </si>
  <si>
    <t>Ash Rd &amp; Best Ave (Elkharthart City Limit)</t>
  </si>
  <si>
    <t>Ash Rd &amp; Elkharthart City Limt (W of State Road 19)</t>
  </si>
  <si>
    <t>County Road 1 &amp; Elkharthart City Limits (E of Northfield Dr)</t>
  </si>
  <si>
    <t>County Road 12 &amp; Elkharthart City Limits (Railroad)</t>
  </si>
  <si>
    <t>Elkharthart Jurisdiction (Charlotte Ave) - County Road 105</t>
  </si>
  <si>
    <t>County Road 13 &amp; Elkharthart City Limits</t>
  </si>
  <si>
    <t>Elkharthart Jurisdiction (South of US Highway 20) - County Road 18</t>
  </si>
  <si>
    <t>Elkhart</t>
  </si>
  <si>
    <t>Shady Ln &amp; Elkharthart City Limit to North</t>
  </si>
  <si>
    <t>Stryker St &amp; Elkharthart City Limits (Pond to S)</t>
  </si>
  <si>
    <t>Elkharthart St - Bristol Ave</t>
  </si>
  <si>
    <t>Harrison</t>
  </si>
  <si>
    <t>Jackson</t>
  </si>
  <si>
    <t>Jefferson</t>
  </si>
  <si>
    <t>Locke</t>
  </si>
  <si>
    <t>Middlebury</t>
  </si>
  <si>
    <t>Olive</t>
  </si>
  <si>
    <t>Osolo</t>
  </si>
  <si>
    <t>Union</t>
  </si>
  <si>
    <t>Washington</t>
  </si>
  <si>
    <t>York</t>
  </si>
  <si>
    <t>Forest County Roadeek Dr &amp; Benham Ave</t>
  </si>
  <si>
    <t>County Road 46 &amp; Elkhart St</t>
  </si>
  <si>
    <t>County Road 17 - Elkhart City Limits (Bristol St)</t>
  </si>
  <si>
    <t>Dead End - Bristol St</t>
  </si>
  <si>
    <t>County Road 29 - County Road 35</t>
  </si>
  <si>
    <t>County Road 26 - County Road 28</t>
  </si>
  <si>
    <t>County Road 25</t>
  </si>
  <si>
    <t>County Road 27 &amp; County Road 118</t>
  </si>
  <si>
    <t>County Road 11 - County Road 15</t>
  </si>
  <si>
    <t>County Road 19 - County Road 21</t>
  </si>
  <si>
    <t>County Road 100 &amp; County Road 26</t>
  </si>
  <si>
    <t>County Road 36 &amp; County Road 40</t>
  </si>
  <si>
    <t>County Road 33 &amp; County Road 21</t>
  </si>
  <si>
    <t xml:space="preserve">County Road 150 </t>
  </si>
  <si>
    <t>County Road 1 &amp; County Road 3</t>
  </si>
  <si>
    <t>County Road 28 &amp; County Road 38</t>
  </si>
  <si>
    <t>County Road 6 - County Road 2</t>
  </si>
  <si>
    <t>State Line Rd - I80/90</t>
  </si>
  <si>
    <t>Woodside Dr - Suburban Dr</t>
  </si>
  <si>
    <t>County Road 42 &amp; County Road 50</t>
  </si>
  <si>
    <t>US 33 &amp; County Road 45</t>
  </si>
  <si>
    <t>Brinkley Way - State Road 13</t>
  </si>
  <si>
    <t>Total:</t>
  </si>
  <si>
    <t>Elkharthart City Limits (East of State Road 19) - County Road 17</t>
  </si>
  <si>
    <t>Walorski Pkwy</t>
  </si>
  <si>
    <t>County Road 17 - County Road 19</t>
  </si>
  <si>
    <t>County Road 142 - County Road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</si>
</sst>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3" fontId="0" fillId="6" borderId="2" xfId="1" applyFont="1" applyFill="1" applyBorder="1" applyAlignment="1">
      <alignment horizontal="center" vertical="center"/>
    </xf>
    <xf numFmtId="43" fontId="0" fillId="6" borderId="4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  <xf numFmtId="43" fontId="0" fillId="3" borderId="2" xfId="1" applyFont="1" applyFill="1" applyBorder="1" applyAlignment="1">
      <alignment horizontal="center" vertical="center"/>
    </xf>
    <xf numFmtId="43" fontId="0" fillId="3" borderId="4" xfId="1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 vertical="center"/>
    </xf>
    <xf numFmtId="43" fontId="0" fillId="4" borderId="4" xfId="1" applyFont="1" applyFill="1" applyBorder="1" applyAlignment="1">
      <alignment horizontal="center" vertical="center"/>
    </xf>
    <xf numFmtId="43" fontId="0" fillId="4" borderId="20" xfId="1" applyFont="1" applyFill="1" applyBorder="1" applyAlignment="1">
      <alignment horizontal="center" vertical="center"/>
    </xf>
    <xf numFmtId="43" fontId="0" fillId="4" borderId="3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43" fontId="0" fillId="2" borderId="12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4" borderId="12" xfId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3" fontId="0" fillId="7" borderId="12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4" xfId="0" applyFill="1" applyBorder="1"/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43" fontId="0" fillId="0" borderId="24" xfId="0" applyNumberForma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1"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35" formatCode="_(* #,##0.00_);_(* \(#,##0.00\);_(* &quot;-&quot;??_);_(@_)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35" formatCode="_(* #,##0.00_);_(* \(#,##0.00\);_(* &quot;-&quot;??_);_(@_)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E3A5F8-C330-4D21-A43D-72E49BE93F89}" name="Table37" displayName="Table37" ref="A4:M140" totalsRowShown="0" headerRowDxfId="33" headerRowBorderDxfId="32" tableBorderDxfId="31" totalsRowBorderDxfId="30">
  <autoFilter ref="A4:M140" xr:uid="{77294A61-F588-4770-9B9C-221930022E60}"/>
  <sortState xmlns:xlrd2="http://schemas.microsoft.com/office/spreadsheetml/2017/richdata2" ref="A5:M140">
    <sortCondition ref="A4:A140"/>
  </sortState>
  <tableColumns count="13">
    <tableColumn id="1" xr3:uid="{B7EDCE29-17D0-4FE4-ACDD-29F5DD35327A}" name="TWP NAME" dataDxfId="29"/>
    <tableColumn id="2" xr3:uid="{61BF9293-2C7B-4631-A027-AD08C5D08B23}" name="ROAD NAME" dataDxfId="28"/>
    <tableColumn id="3" xr3:uid="{14B74FCE-42FC-4190-9D49-ECE00CE2AF4F}" name="BETWEEN ROADS" dataDxfId="27"/>
    <tableColumn id="4" xr3:uid="{17955E13-3EDC-4AC1-9098-151F32E9FACF}" name="MILES" dataDxfId="26"/>
    <tableColumn id="5" xr3:uid="{0DB47A21-E7DB-449E-A06C-4C0B2F022F9A}" name="FEET" dataDxfId="25"/>
    <tableColumn id="6" xr3:uid="{9A8457D3-8F9D-4470-A98C-2D603F320307}" name="MILES2" dataDxfId="3">
      <calculatedColumnFormula>Table37[[#This Row],[FEET3]]/5280</calculatedColumnFormula>
    </tableColumn>
    <tableColumn id="7" xr3:uid="{F26F11B8-985F-4BE8-B5CA-D4E594BC1DCF}" name="FEET3" dataDxfId="24"/>
    <tableColumn id="8" xr3:uid="{F0FD6F0F-AA7F-4BAA-8F08-51CBB8080E98}" name="MILES4" dataDxfId="2">
      <calculatedColumnFormula>Table37[[#This Row],[FEET5]]/5280</calculatedColumnFormula>
    </tableColumn>
    <tableColumn id="9" xr3:uid="{9F1FFCDD-EFCD-435F-8A8B-243625F97EAF}" name="FEET5" dataDxfId="23"/>
    <tableColumn id="10" xr3:uid="{37841E42-0031-4F99-BB97-09E7C9AD5073}" name="MILES6" dataDxfId="1">
      <calculatedColumnFormula>Table37[[#This Row],[FEET7]]/5280</calculatedColumnFormula>
    </tableColumn>
    <tableColumn id="11" xr3:uid="{B7A45B88-748D-4A63-ADDD-02F9B8A55CEB}" name="FEET7" dataDxfId="22"/>
    <tableColumn id="12" xr3:uid="{10428AD2-85B3-4820-A1F8-BE13F104749A}" name="MILES8" dataDxfId="0">
      <calculatedColumnFormula>Table37[[#This Row],[FEET9]]/5280</calculatedColumnFormula>
    </tableColumn>
    <tableColumn id="13" xr3:uid="{C4749A4A-A06C-4F69-AB53-F0BC367C4A8F}" name="FEET9" dataDxfId="2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B0B2DC-0858-4109-9087-C6CB7AFFA854}" name="Table32" displayName="Table32" ref="A4:M65" totalsRowShown="0" headerRowDxfId="50" headerRowBorderDxfId="49" tableBorderDxfId="48" totalsRowBorderDxfId="47">
  <autoFilter ref="A4:M65" xr:uid="{77294A61-F588-4770-9B9C-221930022E60}"/>
  <sortState xmlns:xlrd2="http://schemas.microsoft.com/office/spreadsheetml/2017/richdata2" ref="A5:M65">
    <sortCondition ref="A4:A65"/>
  </sortState>
  <tableColumns count="13">
    <tableColumn id="1" xr3:uid="{DF1E2088-8167-4899-9A24-D497F89431B1}" name="TWP NAME" dataDxfId="46"/>
    <tableColumn id="2" xr3:uid="{D1C5D290-6FD3-4B21-9009-63F98CB8264E}" name="ROAD NAME" dataDxfId="45"/>
    <tableColumn id="3" xr3:uid="{44AA2729-D704-4929-9FB7-ECFA58D768F1}" name="BETWEEN ROADS" dataDxfId="44"/>
    <tableColumn id="4" xr3:uid="{794334A4-8931-4968-9A45-43006561E0C1}" name="MILES" dataDxfId="43"/>
    <tableColumn id="5" xr3:uid="{C1F13B67-7716-463B-973D-29A60A121722}" name="FEET" dataDxfId="42"/>
    <tableColumn id="6" xr3:uid="{C4AC7513-2063-49FC-8979-33C3312AB53A}" name="MILES2" dataDxfId="41">
      <calculatedColumnFormula>Table32[[#This Row],[FEET3]]/5280</calculatedColumnFormula>
    </tableColumn>
    <tableColumn id="7" xr3:uid="{964DDC98-65E9-4288-A654-41F756B67B06}" name="FEET3" dataDxfId="40"/>
    <tableColumn id="8" xr3:uid="{906A0C9A-BD2A-4B72-B060-041A68A42B19}" name="MILES4" dataDxfId="39">
      <calculatedColumnFormula>Table32[[#This Row],[FEET5]]/5280</calculatedColumnFormula>
    </tableColumn>
    <tableColumn id="9" xr3:uid="{0CF9F1EF-9339-45BF-9178-0CF3DB43D054}" name="FEET5" dataDxfId="38"/>
    <tableColumn id="10" xr3:uid="{3FF314B7-F6E4-4DCB-AF8A-FEF004D7D436}" name="MILES6" dataDxfId="37">
      <calculatedColumnFormula>Table32[[#This Row],[FEET7]]/5280</calculatedColumnFormula>
    </tableColumn>
    <tableColumn id="11" xr3:uid="{B0C7DC7E-7D99-4362-95A4-7CBC50023830}" name="FEET7" dataDxfId="36"/>
    <tableColumn id="12" xr3:uid="{7908DD8F-699D-41B1-A11B-FF24CFD88E56}" name="MILES8" dataDxfId="35">
      <calculatedColumnFormula>Table32[[#This Row],[FEET9]]/5280</calculatedColumnFormula>
    </tableColumn>
    <tableColumn id="13" xr3:uid="{B7D9E494-46B9-4EED-A3D6-267503C84FBA}" name="FEET9" dataDxfId="3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E6A0F8-77F4-4626-AEBD-35E26071D69C}" name="Table378" displayName="Table378" ref="A4:M185" totalsRowShown="0" headerRowDxfId="20" headerRowBorderDxfId="19" tableBorderDxfId="18" totalsRowBorderDxfId="17">
  <autoFilter ref="A4:M185" xr:uid="{77294A61-F588-4770-9B9C-221930022E60}"/>
  <sortState xmlns:xlrd2="http://schemas.microsoft.com/office/spreadsheetml/2017/richdata2" ref="A5:M178">
    <sortCondition ref="A4:A178"/>
  </sortState>
  <tableColumns count="13">
    <tableColumn id="1" xr3:uid="{11E7A6C4-584F-4DC7-86C2-F4774B0CC01E}" name="TWP NAME" dataDxfId="16"/>
    <tableColumn id="2" xr3:uid="{4C9F68FE-3429-45C7-A260-8776C0FDB51B}" name="ROAD NAME" dataDxfId="15"/>
    <tableColumn id="3" xr3:uid="{897D3771-5918-497A-9344-BE1B11055085}" name="BETWEEN ROADS" dataDxfId="14"/>
    <tableColumn id="4" xr3:uid="{5A1ADCBC-7437-4E31-B00C-1601031322DE}" name="MILES" dataDxfId="13"/>
    <tableColumn id="5" xr3:uid="{6CC167E9-7D39-490D-86E7-3A8D49543858}" name="FEET" dataDxfId="12"/>
    <tableColumn id="6" xr3:uid="{FECEC85B-9D07-4C45-A3B2-72797837F8FB}" name="MILES2" dataDxfId="11">
      <calculatedColumnFormula>Table378[[#This Row],[FEET3]]/5280</calculatedColumnFormula>
    </tableColumn>
    <tableColumn id="7" xr3:uid="{601AC542-F8AE-4622-AB03-8F5F6677F5B1}" name="FEET3" dataDxfId="10"/>
    <tableColumn id="8" xr3:uid="{0A1AD3C3-CC6A-45A3-AEFF-9B0DD01AAE7C}" name="MILES4" dataDxfId="9">
      <calculatedColumnFormula>Table378[[#This Row],[FEET5]]/5280</calculatedColumnFormula>
    </tableColumn>
    <tableColumn id="9" xr3:uid="{A5E5DCF5-F63C-4FCA-8480-03CC1E0FE00A}" name="FEET5" dataDxfId="8"/>
    <tableColumn id="10" xr3:uid="{4C972659-1810-4146-B40C-B9E5A1704F21}" name="MILES6" dataDxfId="7">
      <calculatedColumnFormula>Table378[[#This Row],[FEET7]]/5280</calculatedColumnFormula>
    </tableColumn>
    <tableColumn id="11" xr3:uid="{73391294-F720-41BA-972F-40DF0906CDF8}" name="FEET7" dataDxfId="6"/>
    <tableColumn id="12" xr3:uid="{B3FE772F-8E97-4C96-B934-6E30FD7E2A46}" name="MILES8" dataDxfId="5">
      <calculatedColumnFormula>Table378[[#This Row],[FEET9]]/5280</calculatedColumnFormula>
    </tableColumn>
    <tableColumn id="13" xr3:uid="{231EE662-9FB1-4F45-AA8E-B446C0A1C62D}" name="FEET9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9F02-FAFC-40E0-99A7-68836F840D2D}">
  <dimension ref="A1:O145"/>
  <sheetViews>
    <sheetView zoomScale="115" zoomScaleNormal="115" workbookViewId="0">
      <selection activeCell="S9" sqref="S9"/>
    </sheetView>
  </sheetViews>
  <sheetFormatPr defaultRowHeight="15" x14ac:dyDescent="0.25"/>
  <cols>
    <col min="1" max="1" width="18" bestFit="1" customWidth="1"/>
    <col min="2" max="2" width="32.28515625" bestFit="1" customWidth="1"/>
    <col min="3" max="3" width="60.5703125" bestFit="1" customWidth="1"/>
    <col min="4" max="4" width="8.42578125" customWidth="1"/>
    <col min="5" max="5" width="10.5703125" bestFit="1" customWidth="1"/>
    <col min="6" max="6" width="9.42578125" customWidth="1"/>
    <col min="7" max="7" width="14" bestFit="1" customWidth="1"/>
    <col min="8" max="8" width="9.42578125" customWidth="1"/>
    <col min="9" max="9" width="12.28515625" bestFit="1" customWidth="1"/>
    <col min="10" max="10" width="9.42578125" customWidth="1"/>
    <col min="11" max="11" width="13.28515625" bestFit="1" customWidth="1"/>
    <col min="12" max="12" width="9.42578125" customWidth="1"/>
    <col min="13" max="13" width="14" customWidth="1"/>
    <col min="15" max="15" width="14" bestFit="1" customWidth="1"/>
  </cols>
  <sheetData>
    <row r="1" spans="1:13" ht="15.75" customHeight="1" thickTop="1" x14ac:dyDescent="0.25">
      <c r="A1" s="51" t="s">
        <v>54</v>
      </c>
      <c r="B1" s="53" t="s">
        <v>0</v>
      </c>
      <c r="C1" s="53" t="s">
        <v>51</v>
      </c>
      <c r="D1" s="43" t="s">
        <v>1</v>
      </c>
      <c r="E1" s="44"/>
      <c r="F1" s="55" t="s">
        <v>2</v>
      </c>
      <c r="G1" s="56"/>
      <c r="H1" s="59" t="s">
        <v>90</v>
      </c>
      <c r="I1" s="60"/>
      <c r="J1" s="43" t="s">
        <v>3</v>
      </c>
      <c r="K1" s="44"/>
      <c r="L1" s="47" t="s">
        <v>4</v>
      </c>
      <c r="M1" s="48"/>
    </row>
    <row r="2" spans="1:13" x14ac:dyDescent="0.25">
      <c r="A2" s="52"/>
      <c r="B2" s="54"/>
      <c r="C2" s="54"/>
      <c r="D2" s="45"/>
      <c r="E2" s="46"/>
      <c r="F2" s="57"/>
      <c r="G2" s="58"/>
      <c r="H2" s="61"/>
      <c r="I2" s="62"/>
      <c r="J2" s="45"/>
      <c r="K2" s="46"/>
      <c r="L2" s="49"/>
      <c r="M2" s="50"/>
    </row>
    <row r="3" spans="1:13" x14ac:dyDescent="0.25">
      <c r="A3" s="52"/>
      <c r="B3" s="54"/>
      <c r="C3" s="54"/>
      <c r="D3" s="45"/>
      <c r="E3" s="46"/>
      <c r="F3" s="57"/>
      <c r="G3" s="58"/>
      <c r="H3" s="61"/>
      <c r="I3" s="62"/>
      <c r="J3" s="45"/>
      <c r="K3" s="46"/>
      <c r="L3" s="49"/>
      <c r="M3" s="50"/>
    </row>
    <row r="4" spans="1:13" ht="15.75" thickBot="1" x14ac:dyDescent="0.3">
      <c r="A4" s="2" t="s">
        <v>55</v>
      </c>
      <c r="B4" s="4" t="s">
        <v>50</v>
      </c>
      <c r="C4" s="4" t="s">
        <v>51</v>
      </c>
      <c r="D4" s="4" t="s">
        <v>52</v>
      </c>
      <c r="E4" s="4" t="s">
        <v>53</v>
      </c>
      <c r="F4" s="17" t="s">
        <v>76</v>
      </c>
      <c r="G4" s="17" t="s">
        <v>77</v>
      </c>
      <c r="H4" s="18" t="s">
        <v>78</v>
      </c>
      <c r="I4" s="18" t="s">
        <v>79</v>
      </c>
      <c r="J4" s="4" t="s">
        <v>80</v>
      </c>
      <c r="K4" s="4" t="s">
        <v>81</v>
      </c>
      <c r="L4" s="19" t="s">
        <v>82</v>
      </c>
      <c r="M4" s="3" t="s">
        <v>83</v>
      </c>
    </row>
    <row r="5" spans="1:13" ht="15.75" thickBot="1" x14ac:dyDescent="0.3">
      <c r="A5" s="5" t="s">
        <v>200</v>
      </c>
      <c r="B5" s="5"/>
      <c r="C5" s="5"/>
      <c r="D5" s="6"/>
      <c r="E5" s="7"/>
      <c r="F5" s="9">
        <f>Table37[[#This Row],[FEET3]]/5280</f>
        <v>0</v>
      </c>
      <c r="G5" s="10"/>
      <c r="H5" s="11">
        <f>Table37[[#This Row],[FEET5]]/5280</f>
        <v>0</v>
      </c>
      <c r="I5" s="12"/>
      <c r="J5" s="6">
        <f>Table37[[#This Row],[FEET7]]/5280</f>
        <v>0</v>
      </c>
      <c r="K5" s="7"/>
      <c r="L5" s="13">
        <f>Table37[[#This Row],[FEET9]]/5280</f>
        <v>0</v>
      </c>
      <c r="M5" s="14"/>
    </row>
    <row r="6" spans="1:13" ht="15.75" thickBot="1" x14ac:dyDescent="0.3">
      <c r="A6" s="26"/>
      <c r="B6" s="27" t="s">
        <v>75</v>
      </c>
      <c r="C6" s="27" t="s">
        <v>204</v>
      </c>
      <c r="D6" s="28"/>
      <c r="E6" s="29"/>
      <c r="F6" s="23">
        <f>Table37[[#This Row],[FEET3]]/5280</f>
        <v>2.1272727272727274</v>
      </c>
      <c r="G6" s="20">
        <v>11232</v>
      </c>
      <c r="H6" s="21">
        <f>Table37[[#This Row],[FEET5]]/5280</f>
        <v>0.56818181818181823</v>
      </c>
      <c r="I6" s="21">
        <v>3000</v>
      </c>
      <c r="J6" s="29">
        <f>Table37[[#This Row],[FEET7]]/5280</f>
        <v>5.3142045454545457</v>
      </c>
      <c r="K6" s="29">
        <v>28059</v>
      </c>
      <c r="L6" s="22">
        <f>Table37[[#This Row],[FEET9]]/5280</f>
        <v>0</v>
      </c>
      <c r="M6" s="13"/>
    </row>
    <row r="7" spans="1:13" ht="15.75" thickBot="1" x14ac:dyDescent="0.3">
      <c r="A7" s="30"/>
      <c r="B7" s="8" t="s">
        <v>6</v>
      </c>
      <c r="C7" s="31" t="s">
        <v>115</v>
      </c>
      <c r="D7" s="28"/>
      <c r="E7" s="28"/>
      <c r="F7" s="23">
        <f>Table37[[#This Row],[FEET3]]/5280</f>
        <v>1.8643939393939395</v>
      </c>
      <c r="G7" s="23">
        <f>5000+(1999*2)+606+240</f>
        <v>9844</v>
      </c>
      <c r="H7" s="24">
        <f>Table37[[#This Row],[FEET5]]/5280</f>
        <v>0.59412878787878787</v>
      </c>
      <c r="I7" s="24">
        <f>606+2291+240</f>
        <v>3137</v>
      </c>
      <c r="J7" s="28">
        <f>Table37[[#This Row],[FEET7]]/5280</f>
        <v>0.16287878787878787</v>
      </c>
      <c r="K7" s="28">
        <v>860</v>
      </c>
      <c r="L7" s="25">
        <f>Table37[[#This Row],[FEET9]]/5280</f>
        <v>0</v>
      </c>
      <c r="M7" s="15"/>
    </row>
    <row r="8" spans="1:13" ht="15.75" thickBot="1" x14ac:dyDescent="0.3">
      <c r="A8" s="30"/>
      <c r="B8" s="8" t="s">
        <v>118</v>
      </c>
      <c r="C8" s="31" t="s">
        <v>254</v>
      </c>
      <c r="D8" s="28"/>
      <c r="E8" s="28"/>
      <c r="F8" s="23">
        <f>Table37[[#This Row],[FEET3]]/5280</f>
        <v>5.3498484848484846</v>
      </c>
      <c r="G8" s="23">
        <f>(4790*2)+379+237+(1394*2)+402+130+(1716*2)+((1.07*5280)*2)</f>
        <v>28247.200000000001</v>
      </c>
      <c r="H8" s="24">
        <f>Table37[[#This Row],[FEET5]]/5280</f>
        <v>0.50738636363636369</v>
      </c>
      <c r="I8" s="24">
        <f>379+1208+237+402+323+130</f>
        <v>2679</v>
      </c>
      <c r="J8" s="28">
        <f>Table37[[#This Row],[FEET7]]/5280</f>
        <v>0</v>
      </c>
      <c r="K8" s="28"/>
      <c r="L8" s="25">
        <f>Table37[[#This Row],[FEET9]]/5280</f>
        <v>0</v>
      </c>
      <c r="M8" s="15"/>
    </row>
    <row r="9" spans="1:13" ht="15.75" thickBot="1" x14ac:dyDescent="0.3">
      <c r="A9" s="26"/>
      <c r="B9" s="27" t="s">
        <v>56</v>
      </c>
      <c r="C9" s="27" t="s">
        <v>223</v>
      </c>
      <c r="D9" s="28"/>
      <c r="E9" s="29"/>
      <c r="F9" s="23">
        <f>Table37[[#This Row],[FEET3]]/5280</f>
        <v>2.3142045454545452</v>
      </c>
      <c r="G9" s="20">
        <f>322+(396*2)+(533*2)+201+327+(744*2)+198+(666*2)+208+179+(1469*2)+287+359+(2*1261)</f>
        <v>12219</v>
      </c>
      <c r="H9" s="21">
        <f>Table37[[#This Row],[FEET5]]/5280</f>
        <v>1.4484848484848485</v>
      </c>
      <c r="I9" s="21">
        <f>1832+322+201+571+327+806+198+208+704+179+297+1644+359</f>
        <v>7648</v>
      </c>
      <c r="J9" s="29">
        <f>Table37[[#This Row],[FEET7]]/5280</f>
        <v>2.6259469696969697</v>
      </c>
      <c r="K9" s="29">
        <f>5506+(1982*2)+2100+2066+229</f>
        <v>13865</v>
      </c>
      <c r="L9" s="22">
        <f>Table37[[#This Row],[FEET9]]/5280</f>
        <v>4.0151515151515153E-2</v>
      </c>
      <c r="M9" s="13">
        <v>212</v>
      </c>
    </row>
    <row r="10" spans="1:13" ht="15.75" thickBot="1" x14ac:dyDescent="0.3">
      <c r="A10" s="30"/>
      <c r="B10" s="31" t="s">
        <v>119</v>
      </c>
      <c r="C10" s="31" t="s">
        <v>224</v>
      </c>
      <c r="D10" s="28"/>
      <c r="E10" s="28"/>
      <c r="F10" s="23">
        <f>Table37[[#This Row],[FEET3]]/5280</f>
        <v>4.7297348484848483</v>
      </c>
      <c r="G10" s="23">
        <v>24973</v>
      </c>
      <c r="H10" s="24">
        <f>Table37[[#This Row],[FEET5]]/5280</f>
        <v>0.11079545454545454</v>
      </c>
      <c r="I10" s="24">
        <v>585</v>
      </c>
      <c r="J10" s="28">
        <f>Table37[[#This Row],[FEET7]]/5280</f>
        <v>5.6418560606060604</v>
      </c>
      <c r="K10" s="28">
        <v>29789</v>
      </c>
      <c r="L10" s="25">
        <f>Table37[[#This Row],[FEET9]]/5280</f>
        <v>0</v>
      </c>
      <c r="M10" s="15"/>
    </row>
    <row r="11" spans="1:13" ht="15.75" thickBot="1" x14ac:dyDescent="0.3">
      <c r="A11" s="26"/>
      <c r="B11" s="27" t="s">
        <v>120</v>
      </c>
      <c r="C11" s="27" t="s">
        <v>121</v>
      </c>
      <c r="D11" s="28"/>
      <c r="E11" s="29"/>
      <c r="F11" s="23">
        <f>Table37[[#This Row],[FEET3]]/5280</f>
        <v>0.16609848484848486</v>
      </c>
      <c r="G11" s="20">
        <v>877</v>
      </c>
      <c r="H11" s="21">
        <f>Table37[[#This Row],[FEET5]]/5280</f>
        <v>0.11647727272727272</v>
      </c>
      <c r="I11" s="21">
        <v>615</v>
      </c>
      <c r="J11" s="29">
        <f>Table37[[#This Row],[FEET7]]/5280</f>
        <v>0</v>
      </c>
      <c r="K11" s="29"/>
      <c r="L11" s="22">
        <f>Table37[[#This Row],[FEET9]]/5280</f>
        <v>0</v>
      </c>
      <c r="M11" s="13"/>
    </row>
    <row r="12" spans="1:13" ht="15.75" thickBot="1" x14ac:dyDescent="0.3">
      <c r="A12" s="30"/>
      <c r="B12" s="31" t="s">
        <v>120</v>
      </c>
      <c r="C12" s="31" t="s">
        <v>122</v>
      </c>
      <c r="D12" s="28"/>
      <c r="E12" s="28"/>
      <c r="F12" s="23">
        <f>Table37[[#This Row],[FEET3]]/5280</f>
        <v>1.0810606060606061</v>
      </c>
      <c r="G12" s="23">
        <v>5708</v>
      </c>
      <c r="H12" s="24">
        <f>Table37[[#This Row],[FEET5]]/5280</f>
        <v>5.8143939393939394E-2</v>
      </c>
      <c r="I12" s="24">
        <v>307</v>
      </c>
      <c r="J12" s="28">
        <f>Table37[[#This Row],[FEET7]]/5280</f>
        <v>0</v>
      </c>
      <c r="K12" s="28"/>
      <c r="L12" s="25">
        <f>Table37[[#This Row],[FEET9]]/5280</f>
        <v>0</v>
      </c>
      <c r="M12" s="15"/>
    </row>
    <row r="13" spans="1:13" ht="15.75" thickBot="1" x14ac:dyDescent="0.3">
      <c r="A13" s="26"/>
      <c r="B13" s="27" t="s">
        <v>8</v>
      </c>
      <c r="C13" s="27" t="s">
        <v>7</v>
      </c>
      <c r="D13" s="28"/>
      <c r="E13" s="29"/>
      <c r="F13" s="23">
        <f>Table37[[#This Row],[FEET3]]/5280</f>
        <v>1.1570075757575757</v>
      </c>
      <c r="G13" s="20">
        <v>6109</v>
      </c>
      <c r="H13" s="21">
        <f>Table37[[#This Row],[FEET5]]/5280</f>
        <v>0</v>
      </c>
      <c r="I13" s="21"/>
      <c r="J13" s="29">
        <f>Table37[[#This Row],[FEET7]]/5280</f>
        <v>0</v>
      </c>
      <c r="K13" s="29"/>
      <c r="L13" s="22">
        <f>Table37[[#This Row],[FEET9]]/5280</f>
        <v>4.3996212121212123E-2</v>
      </c>
      <c r="M13" s="13">
        <v>232.3</v>
      </c>
    </row>
    <row r="14" spans="1:13" ht="15.75" thickBot="1" x14ac:dyDescent="0.3">
      <c r="A14" s="5" t="s">
        <v>202</v>
      </c>
      <c r="B14" s="5"/>
      <c r="C14" s="5"/>
      <c r="D14" s="6"/>
      <c r="E14" s="7"/>
      <c r="F14" s="9">
        <f>Table37[[#This Row],[FEET3]]/5280</f>
        <v>0</v>
      </c>
      <c r="G14" s="10"/>
      <c r="H14" s="11">
        <f>Table37[[#This Row],[FEET5]]/5280</f>
        <v>0</v>
      </c>
      <c r="I14" s="12"/>
      <c r="J14" s="6">
        <f>Table37[[#This Row],[FEET7]]/5280</f>
        <v>0</v>
      </c>
      <c r="K14" s="7"/>
      <c r="L14" s="13">
        <f>Table37[[#This Row],[FEET9]]/5280</f>
        <v>0</v>
      </c>
      <c r="M14" s="14"/>
    </row>
    <row r="15" spans="1:13" ht="15.75" thickBot="1" x14ac:dyDescent="0.3">
      <c r="A15" s="5" t="s">
        <v>201</v>
      </c>
      <c r="B15" s="5"/>
      <c r="C15" s="5"/>
      <c r="D15" s="6"/>
      <c r="E15" s="7"/>
      <c r="F15" s="9">
        <f>Table37[[#This Row],[FEET3]]/5280</f>
        <v>0</v>
      </c>
      <c r="G15" s="10"/>
      <c r="H15" s="11">
        <f>Table37[[#This Row],[FEET5]]/5280</f>
        <v>0</v>
      </c>
      <c r="I15" s="12"/>
      <c r="J15" s="6">
        <f>Table37[[#This Row],[FEET7]]/5280</f>
        <v>0</v>
      </c>
      <c r="K15" s="7"/>
      <c r="L15" s="13">
        <f>Table37[[#This Row],[FEET9]]/5280</f>
        <v>0</v>
      </c>
      <c r="M15" s="14"/>
    </row>
    <row r="16" spans="1:13" ht="15.75" thickBot="1" x14ac:dyDescent="0.3">
      <c r="A16" s="26"/>
      <c r="B16" s="27" t="s">
        <v>74</v>
      </c>
      <c r="C16" s="27" t="s">
        <v>24</v>
      </c>
      <c r="D16" s="28"/>
      <c r="E16" s="29"/>
      <c r="F16" s="23">
        <f>Table37[[#This Row],[FEET3]]/5280</f>
        <v>4.0803030303030301</v>
      </c>
      <c r="G16" s="20">
        <v>21544</v>
      </c>
      <c r="H16" s="21">
        <f>Table37[[#This Row],[FEET5]]/5280</f>
        <v>2.5730681818181815</v>
      </c>
      <c r="I16" s="21">
        <v>13585.8</v>
      </c>
      <c r="J16" s="29">
        <f>Table37[[#This Row],[FEET7]]/5280</f>
        <v>4.3242424242424242</v>
      </c>
      <c r="K16" s="29">
        <v>22832</v>
      </c>
      <c r="L16" s="22">
        <f>Table37[[#This Row],[FEET9]]/5280</f>
        <v>0</v>
      </c>
      <c r="M16" s="13"/>
    </row>
    <row r="17" spans="1:13" ht="15.75" thickBot="1" x14ac:dyDescent="0.3">
      <c r="A17" s="26"/>
      <c r="B17" s="27" t="s">
        <v>25</v>
      </c>
      <c r="C17" s="27" t="s">
        <v>126</v>
      </c>
      <c r="D17" s="28"/>
      <c r="E17" s="29"/>
      <c r="F17" s="23">
        <f>Table37[[#This Row],[FEET3]]/5280</f>
        <v>0.49526515151515149</v>
      </c>
      <c r="G17" s="20">
        <v>2615</v>
      </c>
      <c r="H17" s="21">
        <f>Table37[[#This Row],[FEET5]]/5280</f>
        <v>0.16193181818181818</v>
      </c>
      <c r="I17" s="21">
        <v>855</v>
      </c>
      <c r="J17" s="29">
        <f>Table37[[#This Row],[FEET7]]/5280</f>
        <v>0</v>
      </c>
      <c r="K17" s="29"/>
      <c r="L17" s="22">
        <f>Table37[[#This Row],[FEET9]]/5280</f>
        <v>0</v>
      </c>
      <c r="M17" s="13"/>
    </row>
    <row r="18" spans="1:13" ht="15.75" thickBot="1" x14ac:dyDescent="0.3">
      <c r="A18" s="30"/>
      <c r="B18" s="31" t="s">
        <v>28</v>
      </c>
      <c r="C18" s="31" t="s">
        <v>127</v>
      </c>
      <c r="D18" s="28"/>
      <c r="E18" s="28"/>
      <c r="F18" s="23">
        <f>Table37[[#This Row],[FEET3]]/5280</f>
        <v>1.73</v>
      </c>
      <c r="G18" s="23">
        <v>9134.4</v>
      </c>
      <c r="H18" s="24">
        <f>Table37[[#This Row],[FEET5]]/5280</f>
        <v>0</v>
      </c>
      <c r="I18" s="24"/>
      <c r="J18" s="28">
        <f>Table37[[#This Row],[FEET7]]/5280</f>
        <v>3.2222765151515151</v>
      </c>
      <c r="K18" s="28">
        <f>(2698.81*2)+(5808*2)</f>
        <v>17013.62</v>
      </c>
      <c r="L18" s="25">
        <f>Table37[[#This Row],[FEET9]]/5280</f>
        <v>0.38068181818181818</v>
      </c>
      <c r="M18" s="15">
        <f>135+700+281+(447*2)</f>
        <v>2010</v>
      </c>
    </row>
    <row r="19" spans="1:13" ht="15.75" thickBot="1" x14ac:dyDescent="0.3">
      <c r="A19" s="30"/>
      <c r="B19" s="31" t="s">
        <v>30</v>
      </c>
      <c r="C19" s="31" t="s">
        <v>225</v>
      </c>
      <c r="D19" s="28"/>
      <c r="E19" s="28"/>
      <c r="F19" s="23">
        <f>Table37[[#This Row],[FEET3]]/5280</f>
        <v>4.7734848484848484</v>
      </c>
      <c r="G19" s="23">
        <f>(2*1806)+(2*4811)+(2*3711)+(2*973)+365+920+456+377+484</f>
        <v>25204</v>
      </c>
      <c r="H19" s="24">
        <f>Table37[[#This Row],[FEET5]]/5280</f>
        <v>0.73603598484848487</v>
      </c>
      <c r="I19" s="24">
        <f>187+1991.5+365+456+883+3.77</f>
        <v>3886.27</v>
      </c>
      <c r="J19" s="28">
        <f>Table37[[#This Row],[FEET7]]/5280</f>
        <v>2.36</v>
      </c>
      <c r="K19" s="28">
        <v>12460.8</v>
      </c>
      <c r="L19" s="25">
        <f>Table37[[#This Row],[FEET9]]/5280</f>
        <v>0</v>
      </c>
      <c r="M19" s="15"/>
    </row>
    <row r="20" spans="1:13" ht="15.75" thickBot="1" x14ac:dyDescent="0.3">
      <c r="A20" s="26"/>
      <c r="B20" s="27" t="s">
        <v>6</v>
      </c>
      <c r="C20" s="27" t="s">
        <v>226</v>
      </c>
      <c r="D20" s="28"/>
      <c r="E20" s="29"/>
      <c r="F20" s="23">
        <f>Table37[[#This Row],[FEET3]]/5280</f>
        <v>0.33333333333333331</v>
      </c>
      <c r="G20" s="20">
        <f>2*880</f>
        <v>1760</v>
      </c>
      <c r="H20" s="21">
        <f>Table37[[#This Row],[FEET5]]/5280</f>
        <v>0</v>
      </c>
      <c r="I20" s="21"/>
      <c r="J20" s="29">
        <f>Table37[[#This Row],[FEET7]]/5280</f>
        <v>2.556818181818182E-2</v>
      </c>
      <c r="K20" s="29">
        <v>135</v>
      </c>
      <c r="L20" s="22">
        <f>Table37[[#This Row],[FEET9]]/5280</f>
        <v>0</v>
      </c>
      <c r="M20" s="13"/>
    </row>
    <row r="21" spans="1:13" ht="15.75" thickBot="1" x14ac:dyDescent="0.3">
      <c r="A21" s="30"/>
      <c r="B21" s="31" t="s">
        <v>6</v>
      </c>
      <c r="C21" s="31" t="s">
        <v>128</v>
      </c>
      <c r="D21" s="28"/>
      <c r="E21" s="28"/>
      <c r="F21" s="23">
        <f>Table37[[#This Row],[FEET3]]/5280</f>
        <v>0.21249999999999999</v>
      </c>
      <c r="G21" s="23">
        <f>560+132+430</f>
        <v>1122</v>
      </c>
      <c r="H21" s="24">
        <f>Table37[[#This Row],[FEET5]]/5280</f>
        <v>0.22196969696969698</v>
      </c>
      <c r="I21" s="24">
        <f>132+610+430</f>
        <v>1172</v>
      </c>
      <c r="J21" s="28">
        <f>Table37[[#This Row],[FEET7]]/5280</f>
        <v>0.5636363636363636</v>
      </c>
      <c r="K21" s="28">
        <f>1488*2</f>
        <v>2976</v>
      </c>
      <c r="L21" s="25">
        <f>Table37[[#This Row],[FEET9]]/5280</f>
        <v>0</v>
      </c>
      <c r="M21" s="15"/>
    </row>
    <row r="22" spans="1:13" ht="15.75" thickBot="1" x14ac:dyDescent="0.3">
      <c r="A22" s="30"/>
      <c r="B22" s="31" t="s">
        <v>49</v>
      </c>
      <c r="C22" s="31" t="s">
        <v>130</v>
      </c>
      <c r="D22" s="28"/>
      <c r="E22" s="28"/>
      <c r="F22" s="23">
        <f>Table37[[#This Row],[FEET3]]/5280</f>
        <v>1.9994318181818183</v>
      </c>
      <c r="G22" s="23">
        <v>10557</v>
      </c>
      <c r="H22" s="24">
        <f>Table37[[#This Row],[FEET5]]/5280</f>
        <v>0.27443181818181817</v>
      </c>
      <c r="I22" s="24">
        <v>1449</v>
      </c>
      <c r="J22" s="28">
        <f>Table37[[#This Row],[FEET7]]/5280</f>
        <v>0</v>
      </c>
      <c r="K22" s="28"/>
      <c r="L22" s="25">
        <f>Table37[[#This Row],[FEET9]]/5280</f>
        <v>0</v>
      </c>
      <c r="M22" s="15"/>
    </row>
    <row r="23" spans="1:13" ht="15.75" thickBot="1" x14ac:dyDescent="0.3">
      <c r="A23" s="35"/>
      <c r="B23" s="27" t="s">
        <v>97</v>
      </c>
      <c r="C23" s="27" t="s">
        <v>258</v>
      </c>
      <c r="D23" s="28"/>
      <c r="E23" s="29"/>
      <c r="F23" s="23">
        <f>Table37[[#This Row],[FEET3]]/5280</f>
        <v>1.0299242424242425</v>
      </c>
      <c r="G23" s="20">
        <f>((452*2)+386+1095+733+785+203+412+189+(423*2)+379+415)-909</f>
        <v>5438</v>
      </c>
      <c r="H23" s="21">
        <f>Table37[[#This Row],[FEET5]]/5280</f>
        <v>1.5411931818181819</v>
      </c>
      <c r="I23" s="21">
        <f>(415+937+379+189+412+203+170+785+416+733+491+1095+2360+386)-833.5</f>
        <v>8137.5</v>
      </c>
      <c r="J23" s="29">
        <f>Table37[[#This Row],[FEET7]]/5280</f>
        <v>3</v>
      </c>
      <c r="K23" s="29">
        <v>15840</v>
      </c>
      <c r="L23" s="22">
        <f>Table37[[#This Row],[FEET9]]/5280</f>
        <v>0</v>
      </c>
      <c r="M23" s="13"/>
    </row>
    <row r="24" spans="1:13" ht="15.75" thickBot="1" x14ac:dyDescent="0.3">
      <c r="A24" s="30"/>
      <c r="B24" s="31" t="s">
        <v>95</v>
      </c>
      <c r="C24" s="31" t="s">
        <v>131</v>
      </c>
      <c r="D24" s="28"/>
      <c r="E24" s="28"/>
      <c r="F24" s="23">
        <f>Table37[[#This Row],[FEET3]]/5280</f>
        <v>0.32462121212121214</v>
      </c>
      <c r="G24" s="23">
        <v>1714</v>
      </c>
      <c r="H24" s="24">
        <f>Table37[[#This Row],[FEET5]]/5280</f>
        <v>0.15</v>
      </c>
      <c r="I24" s="24">
        <v>792</v>
      </c>
      <c r="J24" s="28">
        <f>Table37[[#This Row],[FEET7]]/5280</f>
        <v>0</v>
      </c>
      <c r="K24" s="28"/>
      <c r="L24" s="25">
        <f>Table37[[#This Row],[FEET9]]/5280</f>
        <v>0</v>
      </c>
      <c r="M24" s="15"/>
    </row>
    <row r="25" spans="1:13" ht="15.75" thickBot="1" x14ac:dyDescent="0.3">
      <c r="A25" s="26"/>
      <c r="B25" s="27" t="s">
        <v>26</v>
      </c>
      <c r="C25" s="27" t="s">
        <v>132</v>
      </c>
      <c r="D25" s="28"/>
      <c r="E25" s="29"/>
      <c r="F25" s="23">
        <f>Table37[[#This Row],[FEET3]]/5280</f>
        <v>8.9621212121212128</v>
      </c>
      <c r="G25" s="20">
        <v>47320</v>
      </c>
      <c r="H25" s="21">
        <f>Table37[[#This Row],[FEET5]]/5280</f>
        <v>0.20950757575757575</v>
      </c>
      <c r="I25" s="21">
        <v>1106.2</v>
      </c>
      <c r="J25" s="29">
        <f>Table37[[#This Row],[FEET7]]/5280</f>
        <v>6.4460037878787881</v>
      </c>
      <c r="K25" s="29">
        <v>34034.9</v>
      </c>
      <c r="L25" s="22">
        <f>Table37[[#This Row],[FEET9]]/5280</f>
        <v>0</v>
      </c>
      <c r="M25" s="13"/>
    </row>
    <row r="26" spans="1:13" ht="15.75" thickBot="1" x14ac:dyDescent="0.3">
      <c r="A26" s="30"/>
      <c r="B26" s="31" t="s">
        <v>120</v>
      </c>
      <c r="C26" s="31" t="s">
        <v>226</v>
      </c>
      <c r="D26" s="28"/>
      <c r="E26" s="28"/>
      <c r="F26" s="23">
        <f>Table37[[#This Row],[FEET3]]/5280</f>
        <v>0.39583333333333331</v>
      </c>
      <c r="G26" s="23">
        <f>1045*2</f>
        <v>2090</v>
      </c>
      <c r="H26" s="24">
        <f>Table37[[#This Row],[FEET5]]/5280</f>
        <v>0</v>
      </c>
      <c r="I26" s="24"/>
      <c r="J26" s="28">
        <f>Table37[[#This Row],[FEET7]]/5280</f>
        <v>0.40113636363636362</v>
      </c>
      <c r="K26" s="28">
        <f>1059*2</f>
        <v>2118</v>
      </c>
      <c r="L26" s="25">
        <f>Table37[[#This Row],[FEET9]]/5280</f>
        <v>0</v>
      </c>
      <c r="M26" s="15"/>
    </row>
    <row r="27" spans="1:13" ht="15.75" thickBot="1" x14ac:dyDescent="0.3">
      <c r="A27" s="30"/>
      <c r="B27" s="31" t="s">
        <v>120</v>
      </c>
      <c r="C27" s="31" t="s">
        <v>134</v>
      </c>
      <c r="D27" s="28"/>
      <c r="E27" s="28"/>
      <c r="F27" s="23">
        <f>Table37[[#This Row],[FEET3]]/5280</f>
        <v>0.62632575757575759</v>
      </c>
      <c r="G27" s="23">
        <v>3307</v>
      </c>
      <c r="H27" s="24">
        <f>Table37[[#This Row],[FEET5]]/5280</f>
        <v>9.6401515151515155E-2</v>
      </c>
      <c r="I27" s="24">
        <v>509</v>
      </c>
      <c r="J27" s="28">
        <f>Table37[[#This Row],[FEET7]]/5280</f>
        <v>0</v>
      </c>
      <c r="K27" s="28"/>
      <c r="L27" s="25">
        <f>Table37[[#This Row],[FEET9]]/5280</f>
        <v>0</v>
      </c>
      <c r="M27" s="15"/>
    </row>
    <row r="28" spans="1:13" ht="15.75" thickBot="1" x14ac:dyDescent="0.3">
      <c r="A28" s="26"/>
      <c r="B28" s="27" t="s">
        <v>94</v>
      </c>
      <c r="C28" s="27" t="s">
        <v>109</v>
      </c>
      <c r="D28" s="28"/>
      <c r="E28" s="29"/>
      <c r="F28" s="23">
        <f>Table37[[#This Row],[FEET3]]/5280</f>
        <v>0.21590909090909091</v>
      </c>
      <c r="G28" s="20">
        <v>1140</v>
      </c>
      <c r="H28" s="21">
        <f>Table37[[#This Row],[FEET5]]/5280</f>
        <v>0</v>
      </c>
      <c r="I28" s="21"/>
      <c r="J28" s="29">
        <f>Table37[[#This Row],[FEET7]]/5280</f>
        <v>0</v>
      </c>
      <c r="K28" s="29"/>
      <c r="L28" s="22">
        <f>Table37[[#This Row],[FEET9]]/5280</f>
        <v>0</v>
      </c>
      <c r="M28" s="13"/>
    </row>
    <row r="29" spans="1:13" ht="15.75" thickBot="1" x14ac:dyDescent="0.3">
      <c r="A29" s="5" t="s">
        <v>221</v>
      </c>
      <c r="B29" s="5"/>
      <c r="C29" s="5"/>
      <c r="D29" s="6"/>
      <c r="E29" s="7"/>
      <c r="F29" s="9">
        <f>Table37[[#This Row],[FEET3]]/5280</f>
        <v>0</v>
      </c>
      <c r="G29" s="10"/>
      <c r="H29" s="11">
        <f>Table37[[#This Row],[FEET5]]/5280</f>
        <v>0</v>
      </c>
      <c r="I29" s="12"/>
      <c r="J29" s="6">
        <f>Table37[[#This Row],[FEET7]]/5280</f>
        <v>0</v>
      </c>
      <c r="K29" s="7"/>
      <c r="L29" s="13">
        <f>Table37[[#This Row],[FEET9]]/5280</f>
        <v>0</v>
      </c>
      <c r="M29" s="14"/>
    </row>
    <row r="30" spans="1:13" ht="15.75" thickBot="1" x14ac:dyDescent="0.3">
      <c r="A30" s="30"/>
      <c r="B30" s="31" t="s">
        <v>20</v>
      </c>
      <c r="C30" s="31" t="s">
        <v>87</v>
      </c>
      <c r="D30" s="28"/>
      <c r="E30" s="28"/>
      <c r="F30" s="23">
        <f>Table37[[#This Row],[FEET3]]/5280</f>
        <v>0.49998106060606062</v>
      </c>
      <c r="G30" s="23">
        <v>2639.9</v>
      </c>
      <c r="H30" s="24">
        <f>Table37[[#This Row],[FEET5]]/5280</f>
        <v>0.18100378787878788</v>
      </c>
      <c r="I30" s="24">
        <v>955.7</v>
      </c>
      <c r="J30" s="28">
        <f>Table37[[#This Row],[FEET7]]/5280</f>
        <v>0</v>
      </c>
      <c r="K30" s="28"/>
      <c r="L30" s="25">
        <f>Table37[[#This Row],[FEET9]]/5280</f>
        <v>0</v>
      </c>
      <c r="M30" s="15"/>
    </row>
    <row r="31" spans="1:13" ht="15.75" thickBot="1" x14ac:dyDescent="0.3">
      <c r="A31" s="26"/>
      <c r="B31" s="27" t="s">
        <v>20</v>
      </c>
      <c r="C31" s="27" t="s">
        <v>86</v>
      </c>
      <c r="D31" s="28"/>
      <c r="E31" s="29"/>
      <c r="F31" s="23">
        <f>Table37[[#This Row],[FEET3]]/5280</f>
        <v>4.5183712121212123</v>
      </c>
      <c r="G31" s="20">
        <v>23857</v>
      </c>
      <c r="H31" s="21">
        <f>Table37[[#This Row],[FEET5]]/5280</f>
        <v>0.72897727272727275</v>
      </c>
      <c r="I31" s="21">
        <v>3849</v>
      </c>
      <c r="J31" s="29">
        <f>Table37[[#This Row],[FEET7]]/5280</f>
        <v>0</v>
      </c>
      <c r="K31" s="29"/>
      <c r="L31" s="22">
        <f>Table37[[#This Row],[FEET9]]/5280</f>
        <v>0</v>
      </c>
      <c r="M31" s="13"/>
    </row>
    <row r="32" spans="1:13" ht="15.75" thickBot="1" x14ac:dyDescent="0.3">
      <c r="A32" s="30"/>
      <c r="B32" s="31" t="s">
        <v>36</v>
      </c>
      <c r="C32" s="31" t="s">
        <v>37</v>
      </c>
      <c r="D32" s="28"/>
      <c r="E32" s="28"/>
      <c r="F32" s="23">
        <f>Table37[[#This Row],[FEET3]]/5280</f>
        <v>4.1789772727272725</v>
      </c>
      <c r="G32" s="23">
        <v>22065</v>
      </c>
      <c r="H32" s="24">
        <f>Table37[[#This Row],[FEET5]]/5280</f>
        <v>0.48068181818181815</v>
      </c>
      <c r="I32" s="24">
        <v>2538</v>
      </c>
      <c r="J32" s="28">
        <f>Table37[[#This Row],[FEET7]]/5280</f>
        <v>0</v>
      </c>
      <c r="K32" s="28"/>
      <c r="L32" s="25">
        <f>Table37[[#This Row],[FEET9]]/5280</f>
        <v>0</v>
      </c>
      <c r="M32" s="15"/>
    </row>
    <row r="33" spans="1:13" ht="15.75" thickBot="1" x14ac:dyDescent="0.3">
      <c r="A33" s="30"/>
      <c r="B33" s="31" t="s">
        <v>135</v>
      </c>
      <c r="C33" s="31" t="s">
        <v>208</v>
      </c>
      <c r="D33" s="28"/>
      <c r="E33" s="28"/>
      <c r="F33" s="23">
        <f>Table37[[#This Row],[FEET3]]/5280</f>
        <v>6.9393939393939394</v>
      </c>
      <c r="G33" s="23">
        <f>(2*16081)+(1188*2)+(2*1051)</f>
        <v>36640</v>
      </c>
      <c r="H33" s="24">
        <f>Table37[[#This Row],[FEET5]]/5280</f>
        <v>0.88371212121212117</v>
      </c>
      <c r="I33" s="24">
        <v>4666</v>
      </c>
      <c r="J33" s="28">
        <f>Table37[[#This Row],[FEET7]]/5280</f>
        <v>8.1439393939393945</v>
      </c>
      <c r="K33" s="28">
        <v>43000</v>
      </c>
      <c r="L33" s="25">
        <f>Table37[[#This Row],[FEET9]]/5280</f>
        <v>0</v>
      </c>
      <c r="M33" s="15"/>
    </row>
    <row r="34" spans="1:13" ht="15.75" thickBot="1" x14ac:dyDescent="0.3">
      <c r="A34" s="30"/>
      <c r="B34" s="31" t="s">
        <v>34</v>
      </c>
      <c r="C34" s="31" t="s">
        <v>137</v>
      </c>
      <c r="D34" s="28"/>
      <c r="E34" s="28"/>
      <c r="F34" s="23">
        <f>Table37[[#This Row],[FEET3]]/5280</f>
        <v>4.1685606060606064</v>
      </c>
      <c r="G34" s="23">
        <v>22010</v>
      </c>
      <c r="H34" s="24">
        <f>Table37[[#This Row],[FEET5]]/5280</f>
        <v>0.44829545454545455</v>
      </c>
      <c r="I34" s="24">
        <v>2367</v>
      </c>
      <c r="J34" s="28">
        <f>Table37[[#This Row],[FEET7]]/5280</f>
        <v>7.3361742424242422</v>
      </c>
      <c r="K34" s="28">
        <v>38735</v>
      </c>
      <c r="L34" s="25">
        <f>Table37[[#This Row],[FEET9]]/5280</f>
        <v>0</v>
      </c>
      <c r="M34" s="15"/>
    </row>
    <row r="35" spans="1:13" ht="15.75" thickBot="1" x14ac:dyDescent="0.3">
      <c r="A35" s="34"/>
      <c r="B35" s="31" t="s">
        <v>139</v>
      </c>
      <c r="C35" s="31" t="s">
        <v>255</v>
      </c>
      <c r="D35" s="28"/>
      <c r="E35" s="28"/>
      <c r="F35" s="23">
        <f>Table37[[#This Row],[FEET3]]/5280</f>
        <v>2.1607954545454544</v>
      </c>
      <c r="G35" s="23">
        <v>11409</v>
      </c>
      <c r="H35" s="24">
        <f>Table37[[#This Row],[FEET5]]/5280</f>
        <v>0.25170454545454546</v>
      </c>
      <c r="I35" s="24">
        <v>1329</v>
      </c>
      <c r="J35" s="28">
        <f>Table37[[#This Row],[FEET7]]/5280</f>
        <v>4</v>
      </c>
      <c r="K35" s="28">
        <f>5280*4</f>
        <v>21120</v>
      </c>
      <c r="L35" s="25">
        <f>Table37[[#This Row],[FEET9]]/5280</f>
        <v>0</v>
      </c>
      <c r="M35" s="15"/>
    </row>
    <row r="36" spans="1:13" ht="15.75" thickBot="1" x14ac:dyDescent="0.3">
      <c r="A36" s="5" t="s">
        <v>222</v>
      </c>
      <c r="B36" s="5"/>
      <c r="C36" s="5"/>
      <c r="D36" s="6"/>
      <c r="E36" s="7"/>
      <c r="F36" s="9">
        <f>Table37[[#This Row],[FEET3]]/5280</f>
        <v>0</v>
      </c>
      <c r="G36" s="10"/>
      <c r="H36" s="11">
        <f>Table37[[#This Row],[FEET5]]/5280</f>
        <v>0</v>
      </c>
      <c r="I36" s="12"/>
      <c r="J36" s="6">
        <f>Table37[[#This Row],[FEET7]]/5280</f>
        <v>0</v>
      </c>
      <c r="K36" s="7"/>
      <c r="L36" s="13">
        <f>Table37[[#This Row],[FEET9]]/5280</f>
        <v>0</v>
      </c>
      <c r="M36" s="14"/>
    </row>
    <row r="37" spans="1:13" ht="15.75" thickBot="1" x14ac:dyDescent="0.3">
      <c r="A37" s="30"/>
      <c r="B37" s="31" t="s">
        <v>74</v>
      </c>
      <c r="C37" s="31" t="s">
        <v>104</v>
      </c>
      <c r="D37" s="28"/>
      <c r="E37" s="28"/>
      <c r="F37" s="23">
        <f>Table37[[#This Row],[FEET3]]/5280</f>
        <v>1.0659090909090909</v>
      </c>
      <c r="G37" s="23">
        <v>5628</v>
      </c>
      <c r="H37" s="24">
        <f>Table37[[#This Row],[FEET5]]/5280</f>
        <v>1.8749999999999999E-2</v>
      </c>
      <c r="I37" s="24">
        <v>99</v>
      </c>
      <c r="J37" s="28">
        <f>Table37[[#This Row],[FEET7]]/5280</f>
        <v>1.2079545454545455</v>
      </c>
      <c r="K37" s="28">
        <v>6378</v>
      </c>
      <c r="L37" s="25">
        <f>Table37[[#This Row],[FEET9]]/5280</f>
        <v>0</v>
      </c>
      <c r="M37" s="15"/>
    </row>
    <row r="38" spans="1:13" ht="15.75" thickBot="1" x14ac:dyDescent="0.3">
      <c r="A38" s="35"/>
      <c r="B38" s="27" t="s">
        <v>71</v>
      </c>
      <c r="C38" s="27" t="s">
        <v>121</v>
      </c>
      <c r="D38" s="28"/>
      <c r="E38" s="29"/>
      <c r="F38" s="23">
        <f>Table37[[#This Row],[FEET3]]/5280</f>
        <v>2.052840909090909</v>
      </c>
      <c r="G38" s="20">
        <v>10839</v>
      </c>
      <c r="H38" s="21">
        <f>Table37[[#This Row],[FEET5]]/5280</f>
        <v>0.17386363636363636</v>
      </c>
      <c r="I38" s="21">
        <v>918</v>
      </c>
      <c r="J38" s="29">
        <f>Table37[[#This Row],[FEET7]]/5280</f>
        <v>0</v>
      </c>
      <c r="K38" s="29"/>
      <c r="L38" s="22">
        <f>Table37[[#This Row],[FEET9]]/5280</f>
        <v>0</v>
      </c>
      <c r="M38" s="13"/>
    </row>
    <row r="39" spans="1:13" ht="15.75" thickBot="1" x14ac:dyDescent="0.3">
      <c r="A39" s="26"/>
      <c r="B39" s="27" t="s">
        <v>107</v>
      </c>
      <c r="C39" s="27" t="s">
        <v>141</v>
      </c>
      <c r="D39" s="28"/>
      <c r="E39" s="29"/>
      <c r="F39" s="23">
        <f>Table37[[#This Row],[FEET3]]/5280</f>
        <v>0.74147727272727271</v>
      </c>
      <c r="G39" s="20">
        <v>3915</v>
      </c>
      <c r="H39" s="21">
        <f>Table37[[#This Row],[FEET5]]/5280</f>
        <v>0</v>
      </c>
      <c r="I39" s="21"/>
      <c r="J39" s="29">
        <f>Table37[[#This Row],[FEET7]]/5280</f>
        <v>0.13030303030303031</v>
      </c>
      <c r="K39" s="29">
        <v>688</v>
      </c>
      <c r="L39" s="22">
        <f>Table37[[#This Row],[FEET9]]/5280</f>
        <v>0</v>
      </c>
      <c r="M39" s="13"/>
    </row>
    <row r="40" spans="1:13" ht="15.75" thickBot="1" x14ac:dyDescent="0.3">
      <c r="A40" s="26"/>
      <c r="B40" s="27" t="s">
        <v>105</v>
      </c>
      <c r="C40" s="27" t="s">
        <v>106</v>
      </c>
      <c r="D40" s="28"/>
      <c r="E40" s="29"/>
      <c r="F40" s="23">
        <f>Table37[[#This Row],[FEET3]]/5280</f>
        <v>0.36401515151515151</v>
      </c>
      <c r="G40" s="20">
        <v>1922</v>
      </c>
      <c r="H40" s="21">
        <f>Table37[[#This Row],[FEET5]]/5280</f>
        <v>0</v>
      </c>
      <c r="I40" s="21"/>
      <c r="J40" s="29">
        <f>Table37[[#This Row],[FEET7]]/5280</f>
        <v>0</v>
      </c>
      <c r="K40" s="29"/>
      <c r="L40" s="22">
        <f>Table37[[#This Row],[FEET9]]/5280</f>
        <v>0</v>
      </c>
      <c r="M40" s="13"/>
    </row>
    <row r="41" spans="1:13" ht="15.75" thickBot="1" x14ac:dyDescent="0.3">
      <c r="A41" s="30"/>
      <c r="B41" s="31" t="s">
        <v>12</v>
      </c>
      <c r="C41" s="31" t="s">
        <v>142</v>
      </c>
      <c r="D41" s="28"/>
      <c r="E41" s="28"/>
      <c r="F41" s="23">
        <f>Table37[[#This Row],[FEET3]]/5280</f>
        <v>3.7028409090909089</v>
      </c>
      <c r="G41" s="23">
        <v>19551</v>
      </c>
      <c r="H41" s="24">
        <f>Table37[[#This Row],[FEET5]]/5280</f>
        <v>0.74734848484848482</v>
      </c>
      <c r="I41" s="24">
        <v>3946</v>
      </c>
      <c r="J41" s="28">
        <f>Table37[[#This Row],[FEET7]]/5280</f>
        <v>3.0479166666666666</v>
      </c>
      <c r="K41" s="28">
        <v>16093</v>
      </c>
      <c r="L41" s="25">
        <f>Table37[[#This Row],[FEET9]]/5280</f>
        <v>0</v>
      </c>
      <c r="M41" s="15"/>
    </row>
    <row r="42" spans="1:13" ht="15.75" thickBot="1" x14ac:dyDescent="0.3">
      <c r="A42" s="26"/>
      <c r="B42" s="27" t="s">
        <v>10</v>
      </c>
      <c r="C42" s="27" t="s">
        <v>11</v>
      </c>
      <c r="D42" s="28"/>
      <c r="E42" s="29"/>
      <c r="F42" s="23">
        <f>Table37[[#This Row],[FEET3]]/5280</f>
        <v>3.9511363636363637</v>
      </c>
      <c r="G42" s="20">
        <v>20862</v>
      </c>
      <c r="H42" s="21">
        <f>Table37[[#This Row],[FEET5]]/5280</f>
        <v>0.21590909090909091</v>
      </c>
      <c r="I42" s="21">
        <v>1140</v>
      </c>
      <c r="J42" s="29">
        <f>Table37[[#This Row],[FEET7]]/5280</f>
        <v>4.2416666666666663</v>
      </c>
      <c r="K42" s="29">
        <v>22396</v>
      </c>
      <c r="L42" s="22">
        <f>Table37[[#This Row],[FEET9]]/5280</f>
        <v>0</v>
      </c>
      <c r="M42" s="13"/>
    </row>
    <row r="43" spans="1:13" ht="15.75" thickBot="1" x14ac:dyDescent="0.3">
      <c r="A43" s="26"/>
      <c r="B43" s="27" t="s">
        <v>9</v>
      </c>
      <c r="C43" s="27" t="s">
        <v>57</v>
      </c>
      <c r="D43" s="28"/>
      <c r="E43" s="29"/>
      <c r="F43" s="23">
        <f>Table37[[#This Row],[FEET3]]/5280</f>
        <v>10.137499999999999</v>
      </c>
      <c r="G43" s="20">
        <v>53526</v>
      </c>
      <c r="H43" s="21">
        <f>Table37[[#This Row],[FEET5]]/5280</f>
        <v>5.9659090909090912E-2</v>
      </c>
      <c r="I43" s="21">
        <v>315</v>
      </c>
      <c r="J43" s="29">
        <f>Table37[[#This Row],[FEET7]]/5280</f>
        <v>7.1820075757575754</v>
      </c>
      <c r="K43" s="29">
        <v>37921</v>
      </c>
      <c r="L43" s="22">
        <f>Table37[[#This Row],[FEET9]]/5280</f>
        <v>0.41780303030303029</v>
      </c>
      <c r="M43" s="13">
        <v>2206</v>
      </c>
    </row>
    <row r="44" spans="1:13" ht="15.75" thickBot="1" x14ac:dyDescent="0.3">
      <c r="A44" s="34"/>
      <c r="B44" s="31" t="s">
        <v>66</v>
      </c>
      <c r="C44" s="31" t="s">
        <v>249</v>
      </c>
      <c r="D44" s="28"/>
      <c r="E44" s="28"/>
      <c r="F44" s="23">
        <f>Table37[[#This Row],[FEET3]]/5280</f>
        <v>0.41022727272727272</v>
      </c>
      <c r="G44" s="23">
        <v>2166</v>
      </c>
      <c r="H44" s="24">
        <f>Table37[[#This Row],[FEET5]]/5280</f>
        <v>0.22405303030303031</v>
      </c>
      <c r="I44" s="24">
        <v>1183</v>
      </c>
      <c r="J44" s="28">
        <f>Table37[[#This Row],[FEET7]]/5280</f>
        <v>1.9867424242424243</v>
      </c>
      <c r="K44" s="28">
        <v>10490</v>
      </c>
      <c r="L44" s="25">
        <f>Table37[[#This Row],[FEET9]]/5280</f>
        <v>0</v>
      </c>
      <c r="M44" s="15"/>
    </row>
    <row r="45" spans="1:13" ht="15.75" thickBot="1" x14ac:dyDescent="0.3">
      <c r="A45" s="30"/>
      <c r="B45" s="31" t="s">
        <v>116</v>
      </c>
      <c r="C45" s="31" t="s">
        <v>144</v>
      </c>
      <c r="D45" s="28"/>
      <c r="E45" s="28"/>
      <c r="F45" s="23">
        <f>Table37[[#This Row],[FEET3]]/5280</f>
        <v>3.7886363636363636</v>
      </c>
      <c r="G45" s="23">
        <v>20004</v>
      </c>
      <c r="H45" s="24">
        <f>Table37[[#This Row],[FEET5]]/5280</f>
        <v>0</v>
      </c>
      <c r="I45" s="24"/>
      <c r="J45" s="28">
        <f>Table37[[#This Row],[FEET7]]/5280</f>
        <v>2.8655303030303032</v>
      </c>
      <c r="K45" s="28">
        <v>15130</v>
      </c>
      <c r="L45" s="25">
        <f>Table37[[#This Row],[FEET9]]/5280</f>
        <v>0</v>
      </c>
      <c r="M45" s="15"/>
    </row>
    <row r="46" spans="1:13" ht="15.75" thickBot="1" x14ac:dyDescent="0.3">
      <c r="A46" s="30"/>
      <c r="B46" s="31" t="s">
        <v>112</v>
      </c>
      <c r="C46" s="31" t="s">
        <v>111</v>
      </c>
      <c r="D46" s="28"/>
      <c r="E46" s="28"/>
      <c r="F46" s="23">
        <f>Table37[[#This Row],[FEET3]]/5280</f>
        <v>2.3367424242424244</v>
      </c>
      <c r="G46" s="23">
        <f>377+710+253+(2*743)+(2*4756)</f>
        <v>12338</v>
      </c>
      <c r="H46" s="24">
        <f>Table37[[#This Row],[FEET5]]/5280</f>
        <v>0.5035984848484848</v>
      </c>
      <c r="I46" s="24">
        <f>377+253+472+710+847</f>
        <v>2659</v>
      </c>
      <c r="J46" s="28">
        <f>Table37[[#This Row],[FEET7]]/5280</f>
        <v>3.4219696969696969</v>
      </c>
      <c r="K46" s="28">
        <f>2022+471+493+278+300+410+1330+350+1560+(2*5227)+400</f>
        <v>18068</v>
      </c>
      <c r="L46" s="25">
        <f>Table37[[#This Row],[FEET9]]/5280</f>
        <v>0.47689393939393937</v>
      </c>
      <c r="M46" s="15">
        <f>535+772+1001+210</f>
        <v>2518</v>
      </c>
    </row>
    <row r="47" spans="1:13" ht="15.75" thickBot="1" x14ac:dyDescent="0.3">
      <c r="A47" s="26"/>
      <c r="B47" s="27" t="s">
        <v>112</v>
      </c>
      <c r="C47" s="27" t="s">
        <v>244</v>
      </c>
      <c r="D47" s="28"/>
      <c r="E47" s="29"/>
      <c r="F47" s="23">
        <f>Table37[[#This Row],[FEET3]]/5280</f>
        <v>0.61931818181818177</v>
      </c>
      <c r="G47" s="20">
        <f>1651+357+122+570+570</f>
        <v>3270</v>
      </c>
      <c r="H47" s="21">
        <f>Table37[[#This Row],[FEET5]]/5280</f>
        <v>0.40435606060606061</v>
      </c>
      <c r="I47" s="21">
        <f>357+1656+122</f>
        <v>2135</v>
      </c>
      <c r="J47" s="29">
        <f>Table37[[#This Row],[FEET7]]/5280</f>
        <v>1.3005681818181818</v>
      </c>
      <c r="K47" s="29">
        <f>3193+3193+481</f>
        <v>6867</v>
      </c>
      <c r="L47" s="22">
        <f>Table37[[#This Row],[FEET9]]/5280</f>
        <v>0</v>
      </c>
      <c r="M47" s="13"/>
    </row>
    <row r="48" spans="1:13" ht="15.75" thickBot="1" x14ac:dyDescent="0.3">
      <c r="A48" s="30"/>
      <c r="B48" s="31" t="s">
        <v>5</v>
      </c>
      <c r="C48" s="31" t="s">
        <v>146</v>
      </c>
      <c r="D48" s="28"/>
      <c r="E48" s="28"/>
      <c r="F48" s="23">
        <f>Table37[[#This Row],[FEET3]]/5280</f>
        <v>1.6285984848484849</v>
      </c>
      <c r="G48" s="23">
        <v>8599</v>
      </c>
      <c r="H48" s="24">
        <f>Table37[[#This Row],[FEET5]]/5280</f>
        <v>8.7121212121212127E-2</v>
      </c>
      <c r="I48" s="24">
        <v>460</v>
      </c>
      <c r="J48" s="28">
        <f>Table37[[#This Row],[FEET7]]/5280</f>
        <v>2.103787878787879</v>
      </c>
      <c r="K48" s="28">
        <v>11108</v>
      </c>
      <c r="L48" s="25">
        <f>Table37[[#This Row],[FEET9]]/5280</f>
        <v>0</v>
      </c>
      <c r="M48" s="15"/>
    </row>
    <row r="49" spans="1:13" ht="15.75" thickBot="1" x14ac:dyDescent="0.3">
      <c r="A49" s="26"/>
      <c r="B49" s="27" t="s">
        <v>119</v>
      </c>
      <c r="C49" s="27" t="s">
        <v>228</v>
      </c>
      <c r="D49" s="28"/>
      <c r="E49" s="29"/>
      <c r="F49" s="23">
        <f>Table37[[#This Row],[FEET3]]/5280</f>
        <v>2.509280303030303</v>
      </c>
      <c r="G49" s="20">
        <f>(5966*2)+824+493</f>
        <v>13249</v>
      </c>
      <c r="H49" s="21">
        <f>Table37[[#This Row],[FEET5]]/5280</f>
        <v>0.2662878787878788</v>
      </c>
      <c r="I49" s="21">
        <f>493+913</f>
        <v>1406</v>
      </c>
      <c r="J49" s="29">
        <f>Table37[[#This Row],[FEET7]]/5280</f>
        <v>1.7613636363636363E-2</v>
      </c>
      <c r="K49" s="29">
        <v>93</v>
      </c>
      <c r="L49" s="22">
        <f>Table37[[#This Row],[FEET9]]/5280</f>
        <v>0</v>
      </c>
      <c r="M49" s="13"/>
    </row>
    <row r="50" spans="1:13" ht="15.75" thickBot="1" x14ac:dyDescent="0.3">
      <c r="A50" s="30"/>
      <c r="B50" s="8" t="s">
        <v>16</v>
      </c>
      <c r="C50" s="31" t="s">
        <v>210</v>
      </c>
      <c r="D50" s="28"/>
      <c r="E50" s="28"/>
      <c r="F50" s="23">
        <f>Table37[[#This Row],[FEET3]]/5280</f>
        <v>0.3443181818181818</v>
      </c>
      <c r="G50" s="23">
        <v>1818</v>
      </c>
      <c r="H50" s="24">
        <f>Table37[[#This Row],[FEET5]]/5280</f>
        <v>0</v>
      </c>
      <c r="I50" s="24"/>
      <c r="J50" s="28">
        <f>Table37[[#This Row],[FEET7]]/5280</f>
        <v>0</v>
      </c>
      <c r="K50" s="28"/>
      <c r="L50" s="25">
        <f>Table37[[#This Row],[FEET9]]/5280</f>
        <v>0</v>
      </c>
      <c r="M50" s="15"/>
    </row>
    <row r="51" spans="1:13" ht="15.75" thickBot="1" x14ac:dyDescent="0.3">
      <c r="A51" s="30"/>
      <c r="B51" s="8" t="s">
        <v>147</v>
      </c>
      <c r="C51" s="8" t="s">
        <v>148</v>
      </c>
      <c r="D51" s="28"/>
      <c r="E51" s="28"/>
      <c r="F51" s="23">
        <f>Table37[[#This Row],[FEET3]]/5280</f>
        <v>0.90833333333333333</v>
      </c>
      <c r="G51" s="23">
        <v>4796</v>
      </c>
      <c r="H51" s="24">
        <f>Table37[[#This Row],[FEET5]]/5280</f>
        <v>0</v>
      </c>
      <c r="I51" s="24"/>
      <c r="J51" s="28">
        <f>Table37[[#This Row],[FEET7]]/5280</f>
        <v>1.1229166666666666</v>
      </c>
      <c r="K51" s="28">
        <f>(1835*2)+223+2036</f>
        <v>5929</v>
      </c>
      <c r="L51" s="25">
        <f>Table37[[#This Row],[FEET9]]/5280</f>
        <v>0</v>
      </c>
      <c r="M51" s="15"/>
    </row>
    <row r="52" spans="1:13" ht="15.75" thickBot="1" x14ac:dyDescent="0.3">
      <c r="A52" s="26"/>
      <c r="B52" s="33" t="s">
        <v>147</v>
      </c>
      <c r="C52" s="33" t="s">
        <v>149</v>
      </c>
      <c r="D52" s="28"/>
      <c r="E52" s="29"/>
      <c r="F52" s="23">
        <f>Table37[[#This Row],[FEET3]]/5280</f>
        <v>2.4643939393939394</v>
      </c>
      <c r="G52" s="20">
        <f>(2*944)+(2*353)+(2*661)+(2*4497)+(102)</f>
        <v>13012</v>
      </c>
      <c r="H52" s="21">
        <f>Table37[[#This Row],[FEET5]]/5280</f>
        <v>0</v>
      </c>
      <c r="I52" s="21"/>
      <c r="J52" s="29">
        <f>Table37[[#This Row],[FEET7]]/5280</f>
        <v>1.218560606060606</v>
      </c>
      <c r="K52" s="29">
        <f>251+115+102+5966</f>
        <v>6434</v>
      </c>
      <c r="L52" s="22">
        <f>Table37[[#This Row],[FEET9]]/5280</f>
        <v>0</v>
      </c>
      <c r="M52" s="13"/>
    </row>
    <row r="53" spans="1:13" ht="15.75" thickBot="1" x14ac:dyDescent="0.3">
      <c r="A53" s="30"/>
      <c r="B53" s="31" t="s">
        <v>151</v>
      </c>
      <c r="C53" s="31" t="s">
        <v>15</v>
      </c>
      <c r="D53" s="28"/>
      <c r="E53" s="28"/>
      <c r="F53" s="23">
        <f>Table37[[#This Row],[FEET3]]/5280</f>
        <v>1.4407196969696969</v>
      </c>
      <c r="G53" s="23">
        <v>7607</v>
      </c>
      <c r="H53" s="24">
        <f>Table37[[#This Row],[FEET5]]/5280</f>
        <v>0.11590909090909091</v>
      </c>
      <c r="I53" s="24">
        <v>612</v>
      </c>
      <c r="J53" s="28">
        <f>Table37[[#This Row],[FEET7]]/5280</f>
        <v>0</v>
      </c>
      <c r="K53" s="28"/>
      <c r="L53" s="25">
        <f>Table37[[#This Row],[FEET9]]/5280</f>
        <v>0.18200757575757576</v>
      </c>
      <c r="M53" s="15">
        <v>961</v>
      </c>
    </row>
    <row r="54" spans="1:13" ht="15.75" thickBot="1" x14ac:dyDescent="0.3">
      <c r="A54" s="26"/>
      <c r="B54" s="27" t="s">
        <v>13</v>
      </c>
      <c r="C54" s="27" t="s">
        <v>92</v>
      </c>
      <c r="D54" s="28"/>
      <c r="E54" s="29"/>
      <c r="F54" s="23">
        <f>Table37[[#This Row],[FEET3]]/5280</f>
        <v>0.77007575757575752</v>
      </c>
      <c r="G54" s="20">
        <v>4066</v>
      </c>
      <c r="H54" s="21">
        <f>Table37[[#This Row],[FEET5]]/5280</f>
        <v>0</v>
      </c>
      <c r="I54" s="21"/>
      <c r="J54" s="29">
        <f>Table37[[#This Row],[FEET7]]/5280</f>
        <v>0.59924242424242424</v>
      </c>
      <c r="K54" s="29">
        <v>3164</v>
      </c>
      <c r="L54" s="22">
        <f>Table37[[#This Row],[FEET9]]/5280</f>
        <v>0</v>
      </c>
      <c r="M54" s="13"/>
    </row>
    <row r="55" spans="1:13" ht="15.75" thickBot="1" x14ac:dyDescent="0.3">
      <c r="A55" s="30"/>
      <c r="B55" s="31" t="s">
        <v>32</v>
      </c>
      <c r="C55" s="31" t="s">
        <v>152</v>
      </c>
      <c r="D55" s="28"/>
      <c r="E55" s="28"/>
      <c r="F55" s="23">
        <f>Table37[[#This Row],[FEET3]]/5280</f>
        <v>1.6954545454545455</v>
      </c>
      <c r="G55" s="23">
        <v>8952</v>
      </c>
      <c r="H55" s="24">
        <f>Table37[[#This Row],[FEET5]]/5280</f>
        <v>0</v>
      </c>
      <c r="I55" s="24"/>
      <c r="J55" s="28">
        <f>Table37[[#This Row],[FEET7]]/5280</f>
        <v>1.89375</v>
      </c>
      <c r="K55" s="28">
        <v>9999</v>
      </c>
      <c r="L55" s="25">
        <f>Table37[[#This Row],[FEET9]]/5280</f>
        <v>0.19200757575757574</v>
      </c>
      <c r="M55" s="15">
        <v>1013.8</v>
      </c>
    </row>
    <row r="56" spans="1:13" ht="15.75" thickBot="1" x14ac:dyDescent="0.3">
      <c r="A56" s="26"/>
      <c r="B56" s="27" t="s">
        <v>67</v>
      </c>
      <c r="C56" s="27" t="s">
        <v>229</v>
      </c>
      <c r="D56" s="28"/>
      <c r="E56" s="29"/>
      <c r="F56" s="23">
        <f>Table37[[#This Row],[FEET3]]/5280</f>
        <v>0.74695075757575757</v>
      </c>
      <c r="G56" s="20">
        <v>3943.9</v>
      </c>
      <c r="H56" s="21">
        <f>Table37[[#This Row],[FEET5]]/5280</f>
        <v>0</v>
      </c>
      <c r="I56" s="21"/>
      <c r="J56" s="29">
        <f>Table37[[#This Row],[FEET7]]/5280</f>
        <v>1.1174810606060606</v>
      </c>
      <c r="K56" s="29">
        <v>5900.3</v>
      </c>
      <c r="L56" s="22">
        <f>Table37[[#This Row],[FEET9]]/5280</f>
        <v>0.20037878787878788</v>
      </c>
      <c r="M56" s="13">
        <v>1058</v>
      </c>
    </row>
    <row r="57" spans="1:13" ht="15.75" thickBot="1" x14ac:dyDescent="0.3">
      <c r="A57" s="30"/>
      <c r="B57" s="31" t="s">
        <v>68</v>
      </c>
      <c r="C57" s="31" t="s">
        <v>229</v>
      </c>
      <c r="D57" s="28"/>
      <c r="E57" s="28"/>
      <c r="F57" s="23">
        <f>Table37[[#This Row],[FEET3]]/5280</f>
        <v>0.70297348484848476</v>
      </c>
      <c r="G57" s="23">
        <v>3711.7</v>
      </c>
      <c r="H57" s="24">
        <f>Table37[[#This Row],[FEET5]]/5280</f>
        <v>0</v>
      </c>
      <c r="I57" s="24"/>
      <c r="J57" s="28">
        <f>Table37[[#This Row],[FEET7]]/5280</f>
        <v>0.91452651515151506</v>
      </c>
      <c r="K57" s="28">
        <v>4828.7</v>
      </c>
      <c r="L57" s="25">
        <f>Table37[[#This Row],[FEET9]]/5280</f>
        <v>0.20037878787878788</v>
      </c>
      <c r="M57" s="15">
        <v>1058</v>
      </c>
    </row>
    <row r="58" spans="1:13" ht="15.75" thickBot="1" x14ac:dyDescent="0.3">
      <c r="A58" s="26"/>
      <c r="B58" s="27" t="s">
        <v>68</v>
      </c>
      <c r="C58" s="27" t="s">
        <v>14</v>
      </c>
      <c r="D58" s="28"/>
      <c r="E58" s="29"/>
      <c r="F58" s="23">
        <f>Table37[[#This Row],[FEET3]]/5280</f>
        <v>3.3000189393939392</v>
      </c>
      <c r="G58" s="20">
        <v>17424.099999999999</v>
      </c>
      <c r="H58" s="21">
        <f>Table37[[#This Row],[FEET5]]/5280</f>
        <v>0</v>
      </c>
      <c r="I58" s="21"/>
      <c r="J58" s="29">
        <f>Table37[[#This Row],[FEET7]]/5280</f>
        <v>0</v>
      </c>
      <c r="K58" s="29"/>
      <c r="L58" s="22">
        <f>Table37[[#This Row],[FEET9]]/5280</f>
        <v>0.89376893939393942</v>
      </c>
      <c r="M58" s="13">
        <v>4719.1000000000004</v>
      </c>
    </row>
    <row r="59" spans="1:13" ht="15.75" thickBot="1" x14ac:dyDescent="0.3">
      <c r="A59" s="30"/>
      <c r="B59" s="31" t="s">
        <v>67</v>
      </c>
      <c r="C59" s="31" t="s">
        <v>14</v>
      </c>
      <c r="D59" s="28"/>
      <c r="E59" s="28"/>
      <c r="F59" s="23">
        <f>Table37[[#This Row],[FEET3]]/5280</f>
        <v>3.5050000000000003</v>
      </c>
      <c r="G59" s="23">
        <v>18506.400000000001</v>
      </c>
      <c r="H59" s="24">
        <f>Table37[[#This Row],[FEET5]]/5280</f>
        <v>3.9204545454545457E-2</v>
      </c>
      <c r="I59" s="24">
        <v>207</v>
      </c>
      <c r="J59" s="28">
        <f>Table37[[#This Row],[FEET7]]/5280</f>
        <v>9.9674621212121206</v>
      </c>
      <c r="K59" s="28">
        <v>52628.2</v>
      </c>
      <c r="L59" s="25">
        <f>Table37[[#This Row],[FEET9]]/5280</f>
        <v>0.90323863636363644</v>
      </c>
      <c r="M59" s="15">
        <v>4769.1000000000004</v>
      </c>
    </row>
    <row r="60" spans="1:13" ht="15.75" thickBot="1" x14ac:dyDescent="0.3">
      <c r="A60" s="5" t="s">
        <v>230</v>
      </c>
      <c r="B60" s="5"/>
      <c r="C60" s="5"/>
      <c r="D60" s="6"/>
      <c r="E60" s="7"/>
      <c r="F60" s="9">
        <f>Table37[[#This Row],[FEET3]]/5280</f>
        <v>0</v>
      </c>
      <c r="G60" s="10"/>
      <c r="H60" s="11">
        <f>Table37[[#This Row],[FEET5]]/5280</f>
        <v>0</v>
      </c>
      <c r="I60" s="12"/>
      <c r="J60" s="6">
        <f>Table37[[#This Row],[FEET7]]/5280</f>
        <v>0</v>
      </c>
      <c r="K60" s="7"/>
      <c r="L60" s="13">
        <f>Table37[[#This Row],[FEET9]]/5280</f>
        <v>0</v>
      </c>
      <c r="M60" s="14"/>
    </row>
    <row r="61" spans="1:13" ht="15.75" thickBot="1" x14ac:dyDescent="0.3">
      <c r="A61" s="26"/>
      <c r="B61" s="27" t="s">
        <v>71</v>
      </c>
      <c r="C61" s="27" t="s">
        <v>72</v>
      </c>
      <c r="D61" s="28"/>
      <c r="E61" s="29"/>
      <c r="F61" s="23">
        <f>Table37[[#This Row],[FEET3]]/5280</f>
        <v>2.927462121212121</v>
      </c>
      <c r="G61" s="20">
        <v>15457</v>
      </c>
      <c r="H61" s="21">
        <f>Table37[[#This Row],[FEET5]]/5280</f>
        <v>0.41950757575757575</v>
      </c>
      <c r="I61" s="21">
        <v>2215</v>
      </c>
      <c r="J61" s="29">
        <f>Table37[[#This Row],[FEET7]]/5280</f>
        <v>1.6094696969696969</v>
      </c>
      <c r="K61" s="29">
        <v>8498</v>
      </c>
      <c r="L61" s="22">
        <f>Table37[[#This Row],[FEET9]]/5280</f>
        <v>0</v>
      </c>
      <c r="M61" s="13"/>
    </row>
    <row r="62" spans="1:13" ht="15.75" thickBot="1" x14ac:dyDescent="0.3">
      <c r="A62" s="30"/>
      <c r="B62" s="31" t="s">
        <v>20</v>
      </c>
      <c r="C62" s="31" t="s">
        <v>212</v>
      </c>
      <c r="D62" s="28"/>
      <c r="E62" s="28"/>
      <c r="F62" s="23">
        <f>Table37[[#This Row],[FEET3]]/5280</f>
        <v>1.4257575757575758</v>
      </c>
      <c r="G62" s="23">
        <v>7528</v>
      </c>
      <c r="H62" s="24">
        <f>Table37[[#This Row],[FEET5]]/5280</f>
        <v>0</v>
      </c>
      <c r="I62" s="24"/>
      <c r="J62" s="28">
        <f>Table37[[#This Row],[FEET7]]/5280</f>
        <v>1.3693181818181819</v>
      </c>
      <c r="K62" s="28">
        <v>7230</v>
      </c>
      <c r="L62" s="25">
        <f>Table37[[#This Row],[FEET9]]/5280</f>
        <v>0</v>
      </c>
      <c r="M62" s="15"/>
    </row>
    <row r="63" spans="1:13" ht="15.75" thickBot="1" x14ac:dyDescent="0.3">
      <c r="A63" s="30"/>
      <c r="B63" s="31" t="s">
        <v>36</v>
      </c>
      <c r="C63" s="31" t="s">
        <v>153</v>
      </c>
      <c r="D63" s="28"/>
      <c r="E63" s="28"/>
      <c r="F63" s="23">
        <f>Table37[[#This Row],[FEET3]]/5280</f>
        <v>0.50530303030303025</v>
      </c>
      <c r="G63" s="23">
        <f>1334+1334</f>
        <v>2668</v>
      </c>
      <c r="H63" s="24">
        <f>Table37[[#This Row],[FEET5]]/5280</f>
        <v>0</v>
      </c>
      <c r="I63" s="24"/>
      <c r="J63" s="28">
        <f>Table37[[#This Row],[FEET7]]/5280</f>
        <v>0.50265151515151518</v>
      </c>
      <c r="K63" s="28">
        <f>1327+1327</f>
        <v>2654</v>
      </c>
      <c r="L63" s="25">
        <f>Table37[[#This Row],[FEET9]]/5280</f>
        <v>0</v>
      </c>
      <c r="M63" s="15"/>
    </row>
    <row r="64" spans="1:13" ht="15.75" thickBot="1" x14ac:dyDescent="0.3">
      <c r="A64" s="30"/>
      <c r="B64" s="31" t="s">
        <v>135</v>
      </c>
      <c r="C64" s="31" t="s">
        <v>43</v>
      </c>
      <c r="D64" s="28"/>
      <c r="E64" s="28"/>
      <c r="F64" s="23">
        <f>Table37[[#This Row],[FEET3]]/5280</f>
        <v>12.288825757575758</v>
      </c>
      <c r="G64" s="23">
        <v>64885</v>
      </c>
      <c r="H64" s="24">
        <f>Table37[[#This Row],[FEET5]]/5280</f>
        <v>0.84318181818181814</v>
      </c>
      <c r="I64" s="24">
        <v>4452</v>
      </c>
      <c r="J64" s="28">
        <f>Table37[[#This Row],[FEET7]]/5280</f>
        <v>9.2092803030303028</v>
      </c>
      <c r="K64" s="28">
        <v>48625</v>
      </c>
      <c r="L64" s="25">
        <f>Table37[[#This Row],[FEET9]]/5280</f>
        <v>0</v>
      </c>
      <c r="M64" s="15"/>
    </row>
    <row r="65" spans="1:13" ht="15.75" thickBot="1" x14ac:dyDescent="0.3">
      <c r="A65" s="34"/>
      <c r="B65" s="31" t="s">
        <v>38</v>
      </c>
      <c r="C65" s="31" t="s">
        <v>96</v>
      </c>
      <c r="D65" s="28"/>
      <c r="E65" s="28"/>
      <c r="F65" s="23">
        <f>Table37[[#This Row],[FEET3]]/5280</f>
        <v>2.6916666666666669</v>
      </c>
      <c r="G65" s="23">
        <v>14212</v>
      </c>
      <c r="H65" s="24">
        <f>Table37[[#This Row],[FEET5]]/5280</f>
        <v>0.33731060606060603</v>
      </c>
      <c r="I65" s="24">
        <v>1781</v>
      </c>
      <c r="J65" s="28">
        <f>Table37[[#This Row],[FEET7]]/5280</f>
        <v>0.45193181818181816</v>
      </c>
      <c r="K65" s="28">
        <v>2386.1999999999998</v>
      </c>
      <c r="L65" s="25">
        <f>Table37[[#This Row],[FEET9]]/5280</f>
        <v>0</v>
      </c>
      <c r="M65" s="15"/>
    </row>
    <row r="66" spans="1:13" ht="15.75" thickBot="1" x14ac:dyDescent="0.3">
      <c r="A66" s="26"/>
      <c r="B66" s="27" t="s">
        <v>154</v>
      </c>
      <c r="C66" s="27" t="s">
        <v>270</v>
      </c>
      <c r="D66" s="29"/>
      <c r="E66" s="29"/>
      <c r="F66" s="20">
        <f>Table37[[#This Row],[FEET3]]/5280</f>
        <v>11.886174242424243</v>
      </c>
      <c r="G66" s="20">
        <f>29609+10560+22590</f>
        <v>62759</v>
      </c>
      <c r="H66" s="21">
        <f>Table37[[#This Row],[FEET5]]/5280</f>
        <v>0.18920454545454546</v>
      </c>
      <c r="I66" s="21">
        <v>999</v>
      </c>
      <c r="J66" s="29">
        <f>Table37[[#This Row],[FEET7]]/5280</f>
        <v>11.558522727272727</v>
      </c>
      <c r="K66" s="29">
        <f>27879+10560+22590</f>
        <v>61029</v>
      </c>
      <c r="L66" s="22">
        <f>Table37[[#This Row],[FEET9]]/5280</f>
        <v>4.1884469696969697</v>
      </c>
      <c r="M66" s="13">
        <f>13940+2640+5535</f>
        <v>22115</v>
      </c>
    </row>
    <row r="67" spans="1:13" ht="15.75" thickBot="1" x14ac:dyDescent="0.3">
      <c r="A67" s="5" t="s">
        <v>234</v>
      </c>
      <c r="B67" s="5"/>
      <c r="C67" s="5"/>
      <c r="D67" s="6"/>
      <c r="E67" s="7"/>
      <c r="F67" s="9">
        <f>Table37[[#This Row],[FEET3]]/5280</f>
        <v>0</v>
      </c>
      <c r="G67" s="10"/>
      <c r="H67" s="11">
        <f>Table37[[#This Row],[FEET5]]/5280</f>
        <v>0</v>
      </c>
      <c r="I67" s="12"/>
      <c r="J67" s="6">
        <f>Table37[[#This Row],[FEET7]]/5280</f>
        <v>0</v>
      </c>
      <c r="K67" s="7"/>
      <c r="L67" s="13">
        <f>Table37[[#This Row],[FEET9]]/5280</f>
        <v>0</v>
      </c>
      <c r="M67" s="14"/>
    </row>
    <row r="68" spans="1:13" ht="15.75" thickBot="1" x14ac:dyDescent="0.3">
      <c r="A68" s="26"/>
      <c r="B68" s="27" t="s">
        <v>138</v>
      </c>
      <c r="C68" s="27" t="s">
        <v>64</v>
      </c>
      <c r="D68" s="28"/>
      <c r="E68" s="29"/>
      <c r="F68" s="23">
        <f>Table37[[#This Row],[FEET3]]/5280</f>
        <v>5.8607954545454541</v>
      </c>
      <c r="G68" s="20">
        <v>30945</v>
      </c>
      <c r="H68" s="21">
        <f>Table37[[#This Row],[FEET5]]/5280</f>
        <v>0.48238636363636361</v>
      </c>
      <c r="I68" s="21">
        <v>2547</v>
      </c>
      <c r="J68" s="29">
        <f>Table37[[#This Row],[FEET7]]/5280</f>
        <v>0</v>
      </c>
      <c r="K68" s="29"/>
      <c r="L68" s="22">
        <f>Table37[[#This Row],[FEET9]]/5280</f>
        <v>0</v>
      </c>
      <c r="M68" s="13"/>
    </row>
    <row r="69" spans="1:13" ht="15.75" thickBot="1" x14ac:dyDescent="0.3">
      <c r="A69" s="26"/>
      <c r="B69" s="27" t="s">
        <v>147</v>
      </c>
      <c r="C69" s="27" t="s">
        <v>157</v>
      </c>
      <c r="D69" s="28"/>
      <c r="E69" s="29"/>
      <c r="F69" s="23">
        <f>Table37[[#This Row],[FEET3]]/5280</f>
        <v>0.98484848484848486</v>
      </c>
      <c r="G69" s="20">
        <v>5200</v>
      </c>
      <c r="H69" s="21">
        <f>Table37[[#This Row],[FEET5]]/5280</f>
        <v>0</v>
      </c>
      <c r="I69" s="21"/>
      <c r="J69" s="29">
        <f>Table37[[#This Row],[FEET7]]/5280</f>
        <v>0</v>
      </c>
      <c r="K69" s="29"/>
      <c r="L69" s="22">
        <f>Table37[[#This Row],[FEET9]]/5280</f>
        <v>0</v>
      </c>
      <c r="M69" s="13"/>
    </row>
    <row r="70" spans="1:13" ht="15.75" thickBot="1" x14ac:dyDescent="0.3">
      <c r="A70" s="5" t="s">
        <v>235</v>
      </c>
      <c r="B70" s="5"/>
      <c r="C70" s="5"/>
      <c r="D70" s="6"/>
      <c r="E70" s="7"/>
      <c r="F70" s="9">
        <f>Table37[[#This Row],[FEET3]]/5280</f>
        <v>0</v>
      </c>
      <c r="G70" s="10"/>
      <c r="H70" s="11">
        <f>Table37[[#This Row],[FEET5]]/5280</f>
        <v>0</v>
      </c>
      <c r="I70" s="12"/>
      <c r="J70" s="6">
        <f>Table37[[#This Row],[FEET7]]/5280</f>
        <v>0</v>
      </c>
      <c r="K70" s="7"/>
      <c r="L70" s="13">
        <f>Table37[[#This Row],[FEET9]]/5280</f>
        <v>0</v>
      </c>
      <c r="M70" s="14"/>
    </row>
    <row r="71" spans="1:13" ht="15.75" thickBot="1" x14ac:dyDescent="0.3">
      <c r="A71" s="30"/>
      <c r="B71" s="31" t="s">
        <v>44</v>
      </c>
      <c r="C71" s="31" t="s">
        <v>158</v>
      </c>
      <c r="D71" s="28"/>
      <c r="E71" s="28"/>
      <c r="F71" s="23">
        <f>Table37[[#This Row],[FEET3]]/5280</f>
        <v>0.19337121212121211</v>
      </c>
      <c r="G71" s="23">
        <v>1021</v>
      </c>
      <c r="H71" s="24">
        <f>Table37[[#This Row],[FEET5]]/5280</f>
        <v>5.4545454545454543E-2</v>
      </c>
      <c r="I71" s="24">
        <v>288</v>
      </c>
      <c r="J71" s="28">
        <f>Table37[[#This Row],[FEET7]]/5280</f>
        <v>0</v>
      </c>
      <c r="K71" s="28"/>
      <c r="L71" s="25">
        <f>Table37[[#This Row],[FEET9]]/5280</f>
        <v>0</v>
      </c>
      <c r="M71" s="15"/>
    </row>
    <row r="72" spans="1:13" ht="15.75" thickBot="1" x14ac:dyDescent="0.3">
      <c r="A72" s="34"/>
      <c r="B72" s="27" t="s">
        <v>159</v>
      </c>
      <c r="C72" s="27" t="s">
        <v>256</v>
      </c>
      <c r="D72" s="28"/>
      <c r="E72" s="29"/>
      <c r="F72" s="23">
        <f>Table37[[#This Row],[FEET3]]/5280</f>
        <v>10.346212121212121</v>
      </c>
      <c r="G72" s="20">
        <f>32031+22597</f>
        <v>54628</v>
      </c>
      <c r="H72" s="21">
        <f>Table37[[#This Row],[FEET5]]/5280</f>
        <v>0.32045454545454544</v>
      </c>
      <c r="I72" s="21">
        <v>1692</v>
      </c>
      <c r="J72" s="29">
        <f>Table37[[#This Row],[FEET7]]/5280</f>
        <v>1.0537878787878787</v>
      </c>
      <c r="K72" s="29">
        <v>5564</v>
      </c>
      <c r="L72" s="22">
        <f>Table37[[#This Row],[FEET9]]/5280</f>
        <v>0</v>
      </c>
      <c r="M72" s="13"/>
    </row>
    <row r="73" spans="1:13" ht="15.75" thickBot="1" x14ac:dyDescent="0.3">
      <c r="A73" s="34"/>
      <c r="B73" s="8" t="s">
        <v>159</v>
      </c>
      <c r="C73" s="31" t="s">
        <v>253</v>
      </c>
      <c r="D73" s="28"/>
      <c r="E73" s="28"/>
      <c r="F73" s="23">
        <f>Table37[[#This Row],[FEET3]]/5280</f>
        <v>1.012310606060606</v>
      </c>
      <c r="G73" s="23">
        <v>5345</v>
      </c>
      <c r="H73" s="24">
        <f>Table37[[#This Row],[FEET5]]/5280</f>
        <v>7.8598484848484848E-2</v>
      </c>
      <c r="I73" s="24">
        <v>415</v>
      </c>
      <c r="J73" s="28">
        <f>Table37[[#This Row],[FEET7]]/5280</f>
        <v>0</v>
      </c>
      <c r="K73" s="28"/>
      <c r="L73" s="25">
        <f>Table37[[#This Row],[FEET9]]/5280</f>
        <v>0</v>
      </c>
      <c r="M73" s="15"/>
    </row>
    <row r="74" spans="1:13" ht="15.75" thickBot="1" x14ac:dyDescent="0.3">
      <c r="A74" s="34"/>
      <c r="B74" s="8" t="s">
        <v>159</v>
      </c>
      <c r="C74" s="31" t="s">
        <v>252</v>
      </c>
      <c r="D74" s="28"/>
      <c r="E74" s="28"/>
      <c r="F74" s="23">
        <f>Table37[[#This Row],[FEET3]]/5280</f>
        <v>1.8159090909090909</v>
      </c>
      <c r="G74" s="23">
        <v>9588</v>
      </c>
      <c r="H74" s="24">
        <f>Table37[[#This Row],[FEET5]]/5280</f>
        <v>0.30606060606060603</v>
      </c>
      <c r="I74" s="24">
        <v>1616</v>
      </c>
      <c r="J74" s="28">
        <f>Table37[[#This Row],[FEET7]]/5280</f>
        <v>0</v>
      </c>
      <c r="K74" s="28"/>
      <c r="L74" s="25">
        <f>Table37[[#This Row],[FEET9]]/5280</f>
        <v>0</v>
      </c>
      <c r="M74" s="15"/>
    </row>
    <row r="75" spans="1:13" ht="15.75" thickBot="1" x14ac:dyDescent="0.3">
      <c r="A75" s="30"/>
      <c r="B75" s="27" t="s">
        <v>18</v>
      </c>
      <c r="C75" s="27" t="s">
        <v>58</v>
      </c>
      <c r="D75" s="28"/>
      <c r="E75" s="29"/>
      <c r="F75" s="23">
        <f>Table37[[#This Row],[FEET3]]/5280</f>
        <v>6.0946969696969697</v>
      </c>
      <c r="G75" s="20">
        <v>32180</v>
      </c>
      <c r="H75" s="21">
        <f>Table37[[#This Row],[FEET5]]/5280</f>
        <v>0.87272727272727268</v>
      </c>
      <c r="I75" s="21">
        <v>4608</v>
      </c>
      <c r="J75" s="29">
        <f>Table37[[#This Row],[FEET7]]/5280</f>
        <v>0</v>
      </c>
      <c r="K75" s="29"/>
      <c r="L75" s="22">
        <f>Table37[[#This Row],[FEET9]]/5280</f>
        <v>0</v>
      </c>
      <c r="M75" s="13"/>
    </row>
    <row r="76" spans="1:13" ht="15.75" thickBot="1" x14ac:dyDescent="0.3">
      <c r="A76" s="30"/>
      <c r="B76" s="31" t="s">
        <v>21</v>
      </c>
      <c r="C76" s="31" t="s">
        <v>23</v>
      </c>
      <c r="D76" s="28"/>
      <c r="E76" s="28"/>
      <c r="F76" s="23">
        <f>Table37[[#This Row],[FEET3]]/5280</f>
        <v>2.1140189393939393</v>
      </c>
      <c r="G76" s="23">
        <v>11162.02</v>
      </c>
      <c r="H76" s="24">
        <f>Table37[[#This Row],[FEET5]]/5280</f>
        <v>0.69325000000000003</v>
      </c>
      <c r="I76" s="24">
        <v>3660.36</v>
      </c>
      <c r="J76" s="28">
        <f>Table37[[#This Row],[FEET7]]/5280</f>
        <v>0</v>
      </c>
      <c r="K76" s="28"/>
      <c r="L76" s="25">
        <f>Table37[[#This Row],[FEET9]]/5280</f>
        <v>0</v>
      </c>
      <c r="M76" s="15"/>
    </row>
    <row r="77" spans="1:13" ht="15.75" thickBot="1" x14ac:dyDescent="0.3">
      <c r="A77" s="30"/>
      <c r="B77" s="27" t="s">
        <v>21</v>
      </c>
      <c r="C77" s="27" t="s">
        <v>84</v>
      </c>
      <c r="D77" s="28"/>
      <c r="E77" s="29"/>
      <c r="F77" s="23">
        <f>Table37[[#This Row],[FEET3]]/5280</f>
        <v>1.5761742424242426</v>
      </c>
      <c r="G77" s="20">
        <v>8322.2000000000007</v>
      </c>
      <c r="H77" s="21">
        <f>Table37[[#This Row],[FEET5]]/5280</f>
        <v>0</v>
      </c>
      <c r="I77" s="21"/>
      <c r="J77" s="29">
        <f>Table37[[#This Row],[FEET7]]/5280</f>
        <v>0</v>
      </c>
      <c r="K77" s="29"/>
      <c r="L77" s="22">
        <f>Table37[[#This Row],[FEET9]]/5280</f>
        <v>0</v>
      </c>
      <c r="M77" s="13"/>
    </row>
    <row r="78" spans="1:13" ht="15.75" thickBot="1" x14ac:dyDescent="0.3">
      <c r="A78" s="34"/>
      <c r="B78" s="8" t="s">
        <v>40</v>
      </c>
      <c r="C78" s="31" t="s">
        <v>91</v>
      </c>
      <c r="D78" s="28"/>
      <c r="E78" s="28"/>
      <c r="F78" s="23">
        <f>Table37[[#This Row],[FEET3]]/5280</f>
        <v>8.2482954545454543</v>
      </c>
      <c r="G78" s="23">
        <v>43551</v>
      </c>
      <c r="H78" s="24">
        <f>Table37[[#This Row],[FEET5]]/5280</f>
        <v>1.1049242424242425</v>
      </c>
      <c r="I78" s="24">
        <v>5834</v>
      </c>
      <c r="J78" s="28">
        <f>Table37[[#This Row],[FEET7]]/5280</f>
        <v>0</v>
      </c>
      <c r="K78" s="28"/>
      <c r="L78" s="25">
        <f>Table37[[#This Row],[FEET9]]/5280</f>
        <v>0</v>
      </c>
      <c r="M78" s="15"/>
    </row>
    <row r="79" spans="1:13" ht="15.75" thickBot="1" x14ac:dyDescent="0.3">
      <c r="A79" s="30"/>
      <c r="B79" s="8" t="s">
        <v>250</v>
      </c>
      <c r="C79" s="31" t="s">
        <v>59</v>
      </c>
      <c r="D79" s="28"/>
      <c r="E79" s="28"/>
      <c r="F79" s="23">
        <f>Table37[[#This Row],[FEET3]]/5280</f>
        <v>0.60511363636363635</v>
      </c>
      <c r="G79" s="23">
        <v>3195</v>
      </c>
      <c r="H79" s="24">
        <f>Table37[[#This Row],[FEET5]]/5280</f>
        <v>6.5340909090909088E-2</v>
      </c>
      <c r="I79" s="24">
        <v>345</v>
      </c>
      <c r="J79" s="28">
        <f>Table37[[#This Row],[FEET7]]/5280</f>
        <v>0</v>
      </c>
      <c r="K79" s="28"/>
      <c r="L79" s="25">
        <f>Table37[[#This Row],[FEET9]]/5280</f>
        <v>0</v>
      </c>
      <c r="M79" s="15"/>
    </row>
    <row r="80" spans="1:13" ht="15.75" thickBot="1" x14ac:dyDescent="0.3">
      <c r="A80" s="30"/>
      <c r="B80" s="27" t="s">
        <v>160</v>
      </c>
      <c r="C80" s="27" t="s">
        <v>213</v>
      </c>
      <c r="D80" s="28"/>
      <c r="E80" s="29"/>
      <c r="F80" s="23">
        <f>Table37[[#This Row],[FEET3]]/5280</f>
        <v>0.71742424242424241</v>
      </c>
      <c r="G80" s="20">
        <f>1680+1680+428</f>
        <v>3788</v>
      </c>
      <c r="H80" s="21">
        <f>Table37[[#This Row],[FEET5]]/5280</f>
        <v>0.57348484848484849</v>
      </c>
      <c r="I80" s="21">
        <f>428+1975+625</f>
        <v>3028</v>
      </c>
      <c r="J80" s="29">
        <f>Table37[[#This Row],[FEET7]]/5280</f>
        <v>0</v>
      </c>
      <c r="K80" s="29"/>
      <c r="L80" s="22">
        <f>Table37[[#This Row],[FEET9]]/5280</f>
        <v>0</v>
      </c>
      <c r="M80" s="13"/>
    </row>
    <row r="81" spans="1:13" ht="15.75" thickBot="1" x14ac:dyDescent="0.3">
      <c r="A81" s="30"/>
      <c r="B81" s="31" t="s">
        <v>161</v>
      </c>
      <c r="C81" s="31" t="s">
        <v>162</v>
      </c>
      <c r="D81" s="28"/>
      <c r="E81" s="28"/>
      <c r="F81" s="23">
        <f>Table37[[#This Row],[FEET3]]/5280</f>
        <v>1.875189393939394</v>
      </c>
      <c r="G81" s="23">
        <v>9901</v>
      </c>
      <c r="H81" s="24">
        <f>Table37[[#This Row],[FEET5]]/5280</f>
        <v>0.59223484848484853</v>
      </c>
      <c r="I81" s="24">
        <v>3127</v>
      </c>
      <c r="J81" s="28">
        <f>Table37[[#This Row],[FEET7]]/5280</f>
        <v>0</v>
      </c>
      <c r="K81" s="28"/>
      <c r="L81" s="25">
        <f>Table37[[#This Row],[FEET9]]/5280</f>
        <v>0</v>
      </c>
      <c r="M81" s="15"/>
    </row>
    <row r="82" spans="1:13" ht="15.75" thickBot="1" x14ac:dyDescent="0.3">
      <c r="A82" s="30"/>
      <c r="B82" s="27" t="s">
        <v>161</v>
      </c>
      <c r="C82" s="27" t="s">
        <v>163</v>
      </c>
      <c r="D82" s="28"/>
      <c r="E82" s="29"/>
      <c r="F82" s="23">
        <f>Table37[[#This Row],[FEET3]]/5280</f>
        <v>1.3560227272727272</v>
      </c>
      <c r="G82" s="20">
        <v>7159.8</v>
      </c>
      <c r="H82" s="21">
        <f>Table37[[#This Row],[FEET5]]/5280</f>
        <v>0</v>
      </c>
      <c r="I82" s="21"/>
      <c r="J82" s="29">
        <f>Table37[[#This Row],[FEET7]]/5280</f>
        <v>1.2820075757575757</v>
      </c>
      <c r="K82" s="29">
        <v>6769</v>
      </c>
      <c r="L82" s="22">
        <f>Table37[[#This Row],[FEET9]]/5280</f>
        <v>0</v>
      </c>
      <c r="M82" s="13"/>
    </row>
    <row r="83" spans="1:13" ht="15.75" thickBot="1" x14ac:dyDescent="0.3">
      <c r="A83" s="5" t="s">
        <v>236</v>
      </c>
      <c r="B83" s="5"/>
      <c r="C83" s="5"/>
      <c r="D83" s="6"/>
      <c r="E83" s="7"/>
      <c r="F83" s="9">
        <f>Table37[[#This Row],[FEET3]]/5280</f>
        <v>0</v>
      </c>
      <c r="G83" s="10"/>
      <c r="H83" s="11">
        <f>Table37[[#This Row],[FEET5]]/5280</f>
        <v>0</v>
      </c>
      <c r="I83" s="12"/>
      <c r="J83" s="6">
        <f>Table37[[#This Row],[FEET7]]/5280</f>
        <v>0</v>
      </c>
      <c r="K83" s="7"/>
      <c r="L83" s="13">
        <f>Table37[[#This Row],[FEET9]]/5280</f>
        <v>0</v>
      </c>
      <c r="M83" s="14"/>
    </row>
    <row r="84" spans="1:13" ht="15.75" thickBot="1" x14ac:dyDescent="0.3">
      <c r="A84" s="35"/>
      <c r="B84" s="31" t="s">
        <v>69</v>
      </c>
      <c r="C84" s="31" t="s">
        <v>164</v>
      </c>
      <c r="D84" s="28"/>
      <c r="E84" s="28"/>
      <c r="F84" s="23">
        <f>Table37[[#This Row],[FEET3]]/5280</f>
        <v>2.8406818181818179</v>
      </c>
      <c r="G84" s="23">
        <f>19338.8-4340</f>
        <v>14998.8</v>
      </c>
      <c r="H84" s="24">
        <f>Table37[[#This Row],[FEET5]]/5280</f>
        <v>9.0549242424242407E-2</v>
      </c>
      <c r="I84" s="24">
        <f>1574.1-1096</f>
        <v>478.09999999999991</v>
      </c>
      <c r="J84" s="28">
        <f>Table37[[#This Row],[FEET7]]/5280</f>
        <v>0</v>
      </c>
      <c r="K84" s="28"/>
      <c r="L84" s="25">
        <f>Table37[[#This Row],[FEET9]]/5280</f>
        <v>0</v>
      </c>
      <c r="M84" s="15"/>
    </row>
    <row r="85" spans="1:13" ht="15.75" thickBot="1" x14ac:dyDescent="0.3">
      <c r="A85" s="26"/>
      <c r="B85" s="27" t="s">
        <v>9</v>
      </c>
      <c r="C85" s="27" t="s">
        <v>214</v>
      </c>
      <c r="D85" s="28"/>
      <c r="E85" s="29"/>
      <c r="F85" s="23">
        <f>Table37[[#This Row],[FEET3]]/5280</f>
        <v>2.1053030303030305</v>
      </c>
      <c r="G85" s="20">
        <v>11116</v>
      </c>
      <c r="H85" s="21">
        <f>Table37[[#This Row],[FEET5]]/5280</f>
        <v>0.17386363636363636</v>
      </c>
      <c r="I85" s="21">
        <v>918</v>
      </c>
      <c r="J85" s="29">
        <f>Table37[[#This Row],[FEET7]]/5280</f>
        <v>0</v>
      </c>
      <c r="K85" s="29"/>
      <c r="L85" s="22">
        <f>Table37[[#This Row],[FEET9]]/5280</f>
        <v>0</v>
      </c>
      <c r="M85" s="13"/>
    </row>
    <row r="86" spans="1:13" ht="15.75" thickBot="1" x14ac:dyDescent="0.3">
      <c r="A86" s="26"/>
      <c r="B86" s="27" t="s">
        <v>22</v>
      </c>
      <c r="C86" s="27" t="s">
        <v>165</v>
      </c>
      <c r="D86" s="28"/>
      <c r="E86" s="29"/>
      <c r="F86" s="23">
        <f>Table37[[#This Row],[FEET3]]/5280</f>
        <v>2.8674242424242422</v>
      </c>
      <c r="G86" s="20">
        <v>15140</v>
      </c>
      <c r="H86" s="21">
        <f>Table37[[#This Row],[FEET5]]/5280</f>
        <v>0.10662878787878788</v>
      </c>
      <c r="I86" s="21">
        <v>563</v>
      </c>
      <c r="J86" s="29">
        <f>Table37[[#This Row],[FEET7]]/5280</f>
        <v>0</v>
      </c>
      <c r="K86" s="29"/>
      <c r="L86" s="22">
        <f>Table37[[#This Row],[FEET9]]/5280</f>
        <v>0</v>
      </c>
      <c r="M86" s="13"/>
    </row>
    <row r="87" spans="1:13" ht="15.75" thickBot="1" x14ac:dyDescent="0.3">
      <c r="A87" s="26"/>
      <c r="B87" s="31" t="s">
        <v>21</v>
      </c>
      <c r="C87" s="31" t="s">
        <v>63</v>
      </c>
      <c r="D87" s="28"/>
      <c r="E87" s="28"/>
      <c r="F87" s="23">
        <f>Table37[[#This Row],[FEET3]]/5280</f>
        <v>1.6630113636363637</v>
      </c>
      <c r="G87" s="23">
        <v>8780.7000000000007</v>
      </c>
      <c r="H87" s="24">
        <f>Table37[[#This Row],[FEET5]]/5280</f>
        <v>0.20725378787878787</v>
      </c>
      <c r="I87" s="24">
        <v>1094.3</v>
      </c>
      <c r="J87" s="28">
        <f>Table37[[#This Row],[FEET7]]/5280</f>
        <v>6.0189393939393938E-2</v>
      </c>
      <c r="K87" s="28">
        <v>317.8</v>
      </c>
      <c r="L87" s="25">
        <f>Table37[[#This Row],[FEET9]]/5280</f>
        <v>0</v>
      </c>
      <c r="M87" s="15"/>
    </row>
    <row r="88" spans="1:13" ht="15.75" thickBot="1" x14ac:dyDescent="0.3">
      <c r="A88" s="26"/>
      <c r="B88" s="27" t="s">
        <v>40</v>
      </c>
      <c r="C88" s="27" t="s">
        <v>166</v>
      </c>
      <c r="D88" s="28"/>
      <c r="E88" s="29"/>
      <c r="F88" s="23">
        <f>Table37[[#This Row],[FEET3]]/5280</f>
        <v>0.97253787878787878</v>
      </c>
      <c r="G88" s="20">
        <v>5135</v>
      </c>
      <c r="H88" s="21">
        <f>Table37[[#This Row],[FEET5]]/5280</f>
        <v>0.34734848484848485</v>
      </c>
      <c r="I88" s="21">
        <v>1834</v>
      </c>
      <c r="J88" s="29">
        <f>Table37[[#This Row],[FEET7]]/5280</f>
        <v>0</v>
      </c>
      <c r="K88" s="29"/>
      <c r="L88" s="22">
        <f>Table37[[#This Row],[FEET9]]/5280</f>
        <v>0</v>
      </c>
      <c r="M88" s="13"/>
    </row>
    <row r="89" spans="1:13" ht="15.75" thickBot="1" x14ac:dyDescent="0.3">
      <c r="A89" s="26"/>
      <c r="B89" s="27" t="s">
        <v>38</v>
      </c>
      <c r="C89" s="27" t="s">
        <v>215</v>
      </c>
      <c r="D89" s="28"/>
      <c r="E89" s="29"/>
      <c r="F89" s="23">
        <f>Table37[[#This Row],[FEET3]]/5280</f>
        <v>1.1210227272727273</v>
      </c>
      <c r="G89" s="20">
        <v>5919</v>
      </c>
      <c r="H89" s="21">
        <f>Table37[[#This Row],[FEET5]]/5280</f>
        <v>0.26079545454545455</v>
      </c>
      <c r="I89" s="21">
        <v>1377</v>
      </c>
      <c r="J89" s="29">
        <f>Table37[[#This Row],[FEET7]]/5280</f>
        <v>0</v>
      </c>
      <c r="K89" s="29"/>
      <c r="L89" s="22">
        <f>Table37[[#This Row],[FEET9]]/5280</f>
        <v>0</v>
      </c>
      <c r="M89" s="13"/>
    </row>
    <row r="90" spans="1:13" ht="15.75" thickBot="1" x14ac:dyDescent="0.3">
      <c r="A90" s="26"/>
      <c r="B90" s="8" t="s">
        <v>170</v>
      </c>
      <c r="C90" s="31" t="s">
        <v>171</v>
      </c>
      <c r="D90" s="28"/>
      <c r="E90" s="28"/>
      <c r="F90" s="23">
        <f>Table37[[#This Row],[FEET3]]/5280</f>
        <v>1.3</v>
      </c>
      <c r="G90" s="23">
        <v>6864</v>
      </c>
      <c r="H90" s="24">
        <f>Table37[[#This Row],[FEET5]]/5280</f>
        <v>0</v>
      </c>
      <c r="I90" s="24"/>
      <c r="J90" s="28">
        <f>Table37[[#This Row],[FEET7]]/5280</f>
        <v>0</v>
      </c>
      <c r="K90" s="28"/>
      <c r="L90" s="25">
        <f>Table37[[#This Row],[FEET9]]/5280</f>
        <v>0</v>
      </c>
      <c r="M90" s="15"/>
    </row>
    <row r="91" spans="1:13" ht="15.75" thickBot="1" x14ac:dyDescent="0.3">
      <c r="A91" s="5" t="s">
        <v>237</v>
      </c>
      <c r="B91" s="5"/>
      <c r="C91" s="5"/>
      <c r="D91" s="6"/>
      <c r="E91" s="7"/>
      <c r="F91" s="9">
        <f>Table37[[#This Row],[FEET3]]/5280</f>
        <v>0</v>
      </c>
      <c r="G91" s="10"/>
      <c r="H91" s="11">
        <f>Table37[[#This Row],[FEET5]]/5280</f>
        <v>0</v>
      </c>
      <c r="I91" s="12"/>
      <c r="J91" s="6">
        <f>Table37[[#This Row],[FEET7]]/5280</f>
        <v>0</v>
      </c>
      <c r="K91" s="7"/>
      <c r="L91" s="13">
        <f>Table37[[#This Row],[FEET9]]/5280</f>
        <v>0</v>
      </c>
      <c r="M91" s="14"/>
    </row>
    <row r="92" spans="1:13" ht="15.75" thickBot="1" x14ac:dyDescent="0.3">
      <c r="A92" s="26"/>
      <c r="B92" s="27" t="s">
        <v>44</v>
      </c>
      <c r="C92" s="27" t="s">
        <v>45</v>
      </c>
      <c r="D92" s="28"/>
      <c r="E92" s="29"/>
      <c r="F92" s="23">
        <f>Table37[[#This Row],[FEET3]]/5280</f>
        <v>0.74488636363636362</v>
      </c>
      <c r="G92" s="20">
        <v>3933</v>
      </c>
      <c r="H92" s="21">
        <f>Table37[[#This Row],[FEET5]]/5280</f>
        <v>0.15511363636363637</v>
      </c>
      <c r="I92" s="21">
        <v>819</v>
      </c>
      <c r="J92" s="29">
        <f>Table37[[#This Row],[FEET7]]/5280</f>
        <v>0</v>
      </c>
      <c r="K92" s="29"/>
      <c r="L92" s="22">
        <f>Table37[[#This Row],[FEET9]]/5280</f>
        <v>0</v>
      </c>
      <c r="M92" s="13"/>
    </row>
    <row r="93" spans="1:13" ht="15.75" thickBot="1" x14ac:dyDescent="0.3">
      <c r="A93" s="26"/>
      <c r="B93" s="31" t="s">
        <v>6</v>
      </c>
      <c r="C93" s="31" t="s">
        <v>172</v>
      </c>
      <c r="D93" s="28"/>
      <c r="E93" s="28"/>
      <c r="F93" s="23">
        <f>Table37[[#This Row],[FEET3]]/5280</f>
        <v>1.6587121212121212</v>
      </c>
      <c r="G93" s="23">
        <f>868+868+496+246+1180+1180+695+1919+250+528+528</f>
        <v>8758</v>
      </c>
      <c r="H93" s="24">
        <f>Table37[[#This Row],[FEET5]]/5280</f>
        <v>1.125</v>
      </c>
      <c r="I93" s="24">
        <f>496+889+246+695+370+1919+1075+250</f>
        <v>5940</v>
      </c>
      <c r="J93" s="28">
        <f>Table37[[#This Row],[FEET7]]/5280</f>
        <v>0</v>
      </c>
      <c r="K93" s="28"/>
      <c r="L93" s="25">
        <f>Table37[[#This Row],[FEET9]]/5280</f>
        <v>0</v>
      </c>
      <c r="M93" s="15"/>
    </row>
    <row r="94" spans="1:13" ht="15.75" thickBot="1" x14ac:dyDescent="0.3">
      <c r="A94" s="26"/>
      <c r="B94" s="27" t="s">
        <v>6</v>
      </c>
      <c r="C94" s="27" t="s">
        <v>245</v>
      </c>
      <c r="D94" s="28"/>
      <c r="E94" s="29"/>
      <c r="F94" s="23">
        <f>Table37[[#This Row],[FEET3]]/5280</f>
        <v>3.2520833333333332</v>
      </c>
      <c r="G94" s="20">
        <f>2357+2357+2443+2443+2419+1231+1231+868+868+477+477</f>
        <v>17171</v>
      </c>
      <c r="H94" s="21">
        <f>Table37[[#This Row],[FEET5]]/5280</f>
        <v>1.1215909090909091</v>
      </c>
      <c r="I94" s="21">
        <f>2419+868+1967+668</f>
        <v>5922</v>
      </c>
      <c r="J94" s="29">
        <f>Table37[[#This Row],[FEET7]]/5280</f>
        <v>0</v>
      </c>
      <c r="K94" s="29"/>
      <c r="L94" s="22">
        <f>Table37[[#This Row],[FEET9]]/5280</f>
        <v>0</v>
      </c>
      <c r="M94" s="13"/>
    </row>
    <row r="95" spans="1:13" ht="15.75" thickBot="1" x14ac:dyDescent="0.3">
      <c r="A95" s="26"/>
      <c r="B95" s="31" t="s">
        <v>160</v>
      </c>
      <c r="C95" s="31" t="s">
        <v>173</v>
      </c>
      <c r="D95" s="28"/>
      <c r="E95" s="28"/>
      <c r="F95" s="23">
        <f>Table37[[#This Row],[FEET3]]/5280</f>
        <v>0.8041666666666667</v>
      </c>
      <c r="G95" s="23">
        <v>4246</v>
      </c>
      <c r="H95" s="24">
        <f>Table37[[#This Row],[FEET5]]/5280</f>
        <v>0.46534090909090908</v>
      </c>
      <c r="I95" s="24">
        <v>2457</v>
      </c>
      <c r="J95" s="28">
        <f>Table37[[#This Row],[FEET7]]/5280</f>
        <v>0</v>
      </c>
      <c r="K95" s="28"/>
      <c r="L95" s="25">
        <f>Table37[[#This Row],[FEET9]]/5280</f>
        <v>0</v>
      </c>
      <c r="M95" s="15"/>
    </row>
    <row r="96" spans="1:13" ht="15.75" thickBot="1" x14ac:dyDescent="0.3">
      <c r="A96" s="5" t="s">
        <v>238</v>
      </c>
      <c r="B96" s="5"/>
      <c r="C96" s="5"/>
      <c r="D96" s="6"/>
      <c r="E96" s="7"/>
      <c r="F96" s="9">
        <f>Table37[[#This Row],[FEET3]]/5280</f>
        <v>0</v>
      </c>
      <c r="G96" s="10"/>
      <c r="H96" s="11">
        <f>Table37[[#This Row],[FEET5]]/5280</f>
        <v>0</v>
      </c>
      <c r="I96" s="12"/>
      <c r="J96" s="6">
        <f>Table37[[#This Row],[FEET7]]/5280</f>
        <v>0</v>
      </c>
      <c r="K96" s="7"/>
      <c r="L96" s="13">
        <f>Table37[[#This Row],[FEET9]]/5280</f>
        <v>0</v>
      </c>
      <c r="M96" s="14"/>
    </row>
    <row r="97" spans="1:13" ht="15.75" thickBot="1" x14ac:dyDescent="0.3">
      <c r="A97" s="32"/>
      <c r="B97" s="27" t="s">
        <v>35</v>
      </c>
      <c r="C97" s="27" t="s">
        <v>174</v>
      </c>
      <c r="D97" s="28"/>
      <c r="E97" s="29"/>
      <c r="F97" s="23">
        <f>Table37[[#This Row],[FEET3]]/5280</f>
        <v>4.8658901515151518</v>
      </c>
      <c r="G97" s="20">
        <v>25691.9</v>
      </c>
      <c r="H97" s="21">
        <f>Table37[[#This Row],[FEET5]]/5280</f>
        <v>0.14609848484848484</v>
      </c>
      <c r="I97" s="21">
        <v>771.4</v>
      </c>
      <c r="J97" s="29">
        <f>Table37[[#This Row],[FEET7]]/5280</f>
        <v>0</v>
      </c>
      <c r="K97" s="29"/>
      <c r="L97" s="22">
        <f>Table37[[#This Row],[FEET9]]/5280</f>
        <v>0</v>
      </c>
      <c r="M97" s="13"/>
    </row>
    <row r="98" spans="1:13" ht="15.75" thickBot="1" x14ac:dyDescent="0.3">
      <c r="A98" s="26"/>
      <c r="B98" s="31" t="s">
        <v>35</v>
      </c>
      <c r="C98" s="31" t="s">
        <v>175</v>
      </c>
      <c r="D98" s="28"/>
      <c r="E98" s="28"/>
      <c r="F98" s="23">
        <f>Table37[[#This Row],[FEET3]]/5280</f>
        <v>2.1146022727272729</v>
      </c>
      <c r="G98" s="23">
        <v>11165.1</v>
      </c>
      <c r="H98" s="24">
        <f>Table37[[#This Row],[FEET5]]/5280</f>
        <v>0.46571969696969695</v>
      </c>
      <c r="I98" s="24">
        <v>2459</v>
      </c>
      <c r="J98" s="28">
        <f>Table37[[#This Row],[FEET7]]/5280</f>
        <v>0</v>
      </c>
      <c r="K98" s="28"/>
      <c r="L98" s="25">
        <f>Table37[[#This Row],[FEET9]]/5280</f>
        <v>0</v>
      </c>
      <c r="M98" s="15"/>
    </row>
    <row r="99" spans="1:13" ht="15.75" thickBot="1" x14ac:dyDescent="0.3">
      <c r="A99" s="26"/>
      <c r="B99" s="31" t="s">
        <v>118</v>
      </c>
      <c r="C99" s="31" t="s">
        <v>93</v>
      </c>
      <c r="D99" s="28"/>
      <c r="E99" s="28"/>
      <c r="F99" s="23">
        <f>Table37[[#This Row],[FEET3]]/5280</f>
        <v>17.273863636363636</v>
      </c>
      <c r="G99" s="23">
        <v>91206</v>
      </c>
      <c r="H99" s="24">
        <f>Table37[[#This Row],[FEET5]]/5280</f>
        <v>0.37613636363636366</v>
      </c>
      <c r="I99" s="24">
        <v>1986</v>
      </c>
      <c r="J99" s="28">
        <f>Table37[[#This Row],[FEET7]]/5280</f>
        <v>10.960984848484848</v>
      </c>
      <c r="K99" s="28">
        <v>57874</v>
      </c>
      <c r="L99" s="25">
        <f>Table37[[#This Row],[FEET9]]/5280</f>
        <v>0</v>
      </c>
      <c r="M99" s="15"/>
    </row>
    <row r="100" spans="1:13" ht="15.75" thickBot="1" x14ac:dyDescent="0.3">
      <c r="A100" s="26"/>
      <c r="B100" s="33" t="s">
        <v>167</v>
      </c>
      <c r="C100" s="27" t="s">
        <v>248</v>
      </c>
      <c r="D100" s="28"/>
      <c r="E100" s="29"/>
      <c r="F100" s="23">
        <f>Table37[[#This Row],[FEET3]]/5280</f>
        <v>3.4871212121212123</v>
      </c>
      <c r="G100" s="20">
        <v>18412</v>
      </c>
      <c r="H100" s="21">
        <f>Table37[[#This Row],[FEET5]]/5280</f>
        <v>0.38655303030303029</v>
      </c>
      <c r="I100" s="21">
        <v>2041</v>
      </c>
      <c r="J100" s="29">
        <f>Table37[[#This Row],[FEET7]]/5280</f>
        <v>0</v>
      </c>
      <c r="K100" s="29"/>
      <c r="L100" s="22">
        <f>Table37[[#This Row],[FEET9]]/5280</f>
        <v>0</v>
      </c>
      <c r="M100" s="13"/>
    </row>
    <row r="101" spans="1:13" ht="15.75" thickBot="1" x14ac:dyDescent="0.3">
      <c r="A101" s="26"/>
      <c r="B101" s="31" t="s">
        <v>119</v>
      </c>
      <c r="C101" s="31" t="s">
        <v>113</v>
      </c>
      <c r="D101" s="28"/>
      <c r="E101" s="28"/>
      <c r="F101" s="23">
        <f>Table37[[#This Row],[FEET3]]/5280</f>
        <v>3.4488636363636362</v>
      </c>
      <c r="G101" s="23">
        <f>974+974+8131+8131</f>
        <v>18210</v>
      </c>
      <c r="H101" s="24">
        <f>Table37[[#This Row],[FEET5]]/5280</f>
        <v>0.16893939393939394</v>
      </c>
      <c r="I101" s="24">
        <v>892</v>
      </c>
      <c r="J101" s="28">
        <f>Table37[[#This Row],[FEET7]]/5280</f>
        <v>3.8397727272727273</v>
      </c>
      <c r="K101" s="28">
        <f>10137+10137</f>
        <v>20274</v>
      </c>
      <c r="L101" s="25">
        <f>Table37[[#This Row],[FEET9]]/5280</f>
        <v>0</v>
      </c>
      <c r="M101" s="15"/>
    </row>
    <row r="102" spans="1:13" ht="15.75" thickBot="1" x14ac:dyDescent="0.3">
      <c r="A102" s="26"/>
      <c r="B102" s="27" t="s">
        <v>119</v>
      </c>
      <c r="C102" s="27" t="s">
        <v>98</v>
      </c>
      <c r="D102" s="28"/>
      <c r="E102" s="29"/>
      <c r="F102" s="23">
        <f>Table37[[#This Row],[FEET3]]/5280</f>
        <v>0.77462121212121215</v>
      </c>
      <c r="G102" s="20">
        <f>2045+2045</f>
        <v>4090</v>
      </c>
      <c r="H102" s="21">
        <f>Table37[[#This Row],[FEET5]]/5280</f>
        <v>0</v>
      </c>
      <c r="I102" s="21"/>
      <c r="J102" s="29">
        <f>Table37[[#This Row],[FEET7]]/5280</f>
        <v>0.79166666666666663</v>
      </c>
      <c r="K102" s="29">
        <f>2090+2090</f>
        <v>4180</v>
      </c>
      <c r="L102" s="22">
        <f>Table37[[#This Row],[FEET9]]/5280</f>
        <v>0</v>
      </c>
      <c r="M102" s="13"/>
    </row>
    <row r="103" spans="1:13" ht="15.75" thickBot="1" x14ac:dyDescent="0.3">
      <c r="A103" s="26"/>
      <c r="B103" s="27" t="s">
        <v>48</v>
      </c>
      <c r="C103" s="27" t="s">
        <v>177</v>
      </c>
      <c r="D103" s="28"/>
      <c r="E103" s="29"/>
      <c r="F103" s="23">
        <f>Table37[[#This Row],[FEET3]]/5280</f>
        <v>3.9149204545454541</v>
      </c>
      <c r="G103" s="20">
        <v>20670.78</v>
      </c>
      <c r="H103" s="21">
        <f>Table37[[#This Row],[FEET5]]/5280</f>
        <v>0.12600378787878788</v>
      </c>
      <c r="I103" s="21">
        <v>665.3</v>
      </c>
      <c r="J103" s="29">
        <f>Table37[[#This Row],[FEET7]]/5280</f>
        <v>0</v>
      </c>
      <c r="K103" s="29"/>
      <c r="L103" s="22">
        <f>Table37[[#This Row],[FEET9]]/5280</f>
        <v>0</v>
      </c>
      <c r="M103" s="13"/>
    </row>
    <row r="104" spans="1:13" ht="15.75" thickBot="1" x14ac:dyDescent="0.3">
      <c r="A104" s="26"/>
      <c r="B104" s="31" t="s">
        <v>97</v>
      </c>
      <c r="C104" s="31" t="s">
        <v>178</v>
      </c>
      <c r="D104" s="28"/>
      <c r="E104" s="28"/>
      <c r="F104" s="23">
        <f>Table37[[#This Row],[FEET3]]/5280</f>
        <v>1.5803030303030303</v>
      </c>
      <c r="G104" s="23">
        <f>4172+4172</f>
        <v>8344</v>
      </c>
      <c r="H104" s="24">
        <f>Table37[[#This Row],[FEET5]]/5280</f>
        <v>0</v>
      </c>
      <c r="I104" s="24"/>
      <c r="J104" s="28">
        <f>Table37[[#This Row],[FEET7]]/5280</f>
        <v>0</v>
      </c>
      <c r="K104" s="28"/>
      <c r="L104" s="25">
        <f>Table37[[#This Row],[FEET9]]/5280</f>
        <v>0</v>
      </c>
      <c r="M104" s="15"/>
    </row>
    <row r="105" spans="1:13" ht="15.75" thickBot="1" x14ac:dyDescent="0.3">
      <c r="A105" s="26"/>
      <c r="B105" s="33" t="s">
        <v>35</v>
      </c>
      <c r="C105" s="27" t="s">
        <v>259</v>
      </c>
      <c r="D105" s="28"/>
      <c r="E105" s="29"/>
      <c r="F105" s="23">
        <f>Table37[[#This Row],[FEET3]]/5280</f>
        <v>7.5041818181818183</v>
      </c>
      <c r="G105" s="20">
        <v>39622.080000000002</v>
      </c>
      <c r="H105" s="21">
        <f>Table37[[#This Row],[FEET5]]/5280</f>
        <v>0.20624999999999999</v>
      </c>
      <c r="I105" s="21">
        <v>1089</v>
      </c>
      <c r="J105" s="29">
        <f>Table37[[#This Row],[FEET7]]/5280</f>
        <v>0</v>
      </c>
      <c r="K105" s="29"/>
      <c r="L105" s="22">
        <f>Table37[[#This Row],[FEET9]]/5280</f>
        <v>0</v>
      </c>
      <c r="M105" s="13"/>
    </row>
    <row r="106" spans="1:13" ht="15.75" thickBot="1" x14ac:dyDescent="0.3">
      <c r="A106" s="5" t="s">
        <v>239</v>
      </c>
      <c r="B106" s="5"/>
      <c r="C106" s="5"/>
      <c r="D106" s="6"/>
      <c r="E106" s="7"/>
      <c r="F106" s="9">
        <f>Table37[[#This Row],[FEET3]]/5280</f>
        <v>0</v>
      </c>
      <c r="G106" s="10"/>
      <c r="H106" s="11">
        <f>Table37[[#This Row],[FEET5]]/5280</f>
        <v>0</v>
      </c>
      <c r="I106" s="12"/>
      <c r="J106" s="6">
        <f>Table37[[#This Row],[FEET7]]/5280</f>
        <v>0</v>
      </c>
      <c r="K106" s="7"/>
      <c r="L106" s="13">
        <f>Table37[[#This Row],[FEET9]]/5280</f>
        <v>0</v>
      </c>
      <c r="M106" s="14"/>
    </row>
    <row r="107" spans="1:13" ht="15.75" thickBot="1" x14ac:dyDescent="0.3">
      <c r="A107" s="30"/>
      <c r="B107" s="27" t="s">
        <v>6</v>
      </c>
      <c r="C107" s="27" t="s">
        <v>179</v>
      </c>
      <c r="D107" s="28"/>
      <c r="E107" s="29"/>
      <c r="F107" s="23">
        <f>Table37[[#This Row],[FEET3]]/5280</f>
        <v>2.4755681818181818</v>
      </c>
      <c r="G107" s="20">
        <v>13071</v>
      </c>
      <c r="H107" s="21">
        <f>Table37[[#This Row],[FEET5]]/5280</f>
        <v>0.76875000000000004</v>
      </c>
      <c r="I107" s="21">
        <v>4059</v>
      </c>
      <c r="J107" s="29">
        <f>Table37[[#This Row],[FEET7]]/5280</f>
        <v>0</v>
      </c>
      <c r="K107" s="29"/>
      <c r="L107" s="22">
        <f>Table37[[#This Row],[FEET9]]/5280</f>
        <v>0</v>
      </c>
      <c r="M107" s="13"/>
    </row>
    <row r="108" spans="1:13" ht="15.75" thickBot="1" x14ac:dyDescent="0.3">
      <c r="A108" s="5" t="s">
        <v>240</v>
      </c>
      <c r="B108" s="5"/>
      <c r="C108" s="5"/>
      <c r="D108" s="6"/>
      <c r="E108" s="7"/>
      <c r="F108" s="9">
        <f>Table37[[#This Row],[FEET3]]/5280</f>
        <v>0</v>
      </c>
      <c r="G108" s="10"/>
      <c r="H108" s="11">
        <f>Table37[[#This Row],[FEET5]]/5280</f>
        <v>0</v>
      </c>
      <c r="I108" s="12"/>
      <c r="J108" s="6">
        <f>Table37[[#This Row],[FEET7]]/5280</f>
        <v>0</v>
      </c>
      <c r="K108" s="7"/>
      <c r="L108" s="13">
        <f>Table37[[#This Row],[FEET9]]/5280</f>
        <v>0</v>
      </c>
      <c r="M108" s="14"/>
    </row>
    <row r="109" spans="1:13" ht="15.75" thickBot="1" x14ac:dyDescent="0.3">
      <c r="A109" s="30"/>
      <c r="B109" s="31" t="s">
        <v>73</v>
      </c>
      <c r="C109" s="31" t="s">
        <v>216</v>
      </c>
      <c r="D109" s="28"/>
      <c r="E109" s="28"/>
      <c r="F109" s="23">
        <f>Table37[[#This Row],[FEET3]]/5280</f>
        <v>2.0056818181818183</v>
      </c>
      <c r="G109" s="23">
        <v>10590</v>
      </c>
      <c r="H109" s="24">
        <f>Table37[[#This Row],[FEET5]]/5280</f>
        <v>0.74734848484848482</v>
      </c>
      <c r="I109" s="24">
        <v>3946</v>
      </c>
      <c r="J109" s="28">
        <f>Table37[[#This Row],[FEET7]]/5280</f>
        <v>3.0479166666666666</v>
      </c>
      <c r="K109" s="28">
        <v>16093</v>
      </c>
      <c r="L109" s="25">
        <f>Table37[[#This Row],[FEET9]]/5280</f>
        <v>0</v>
      </c>
      <c r="M109" s="15"/>
    </row>
    <row r="110" spans="1:13" ht="15.75" thickBot="1" x14ac:dyDescent="0.3">
      <c r="A110" s="34"/>
      <c r="B110" s="27" t="s">
        <v>12</v>
      </c>
      <c r="C110" s="27" t="s">
        <v>60</v>
      </c>
      <c r="D110" s="28"/>
      <c r="E110" s="29"/>
      <c r="F110" s="23">
        <f>Table37[[#This Row],[FEET3]]/5280</f>
        <v>0.73333333333333328</v>
      </c>
      <c r="G110" s="20">
        <v>3872</v>
      </c>
      <c r="H110" s="21">
        <f>Table37[[#This Row],[FEET5]]/5280</f>
        <v>0</v>
      </c>
      <c r="I110" s="21"/>
      <c r="J110" s="29">
        <f>Table37[[#This Row],[FEET7]]/5280</f>
        <v>0.56912878787878785</v>
      </c>
      <c r="K110" s="29">
        <v>3005</v>
      </c>
      <c r="L110" s="22">
        <f>Table37[[#This Row],[FEET9]]/5280</f>
        <v>0</v>
      </c>
      <c r="M110" s="13"/>
    </row>
    <row r="111" spans="1:13" ht="15.75" thickBot="1" x14ac:dyDescent="0.3">
      <c r="A111" s="30"/>
      <c r="B111" s="31" t="s">
        <v>12</v>
      </c>
      <c r="C111" s="31" t="s">
        <v>31</v>
      </c>
      <c r="D111" s="28"/>
      <c r="E111" s="28"/>
      <c r="F111" s="23">
        <f>Table37[[#This Row],[FEET3]]/5280</f>
        <v>1.6284090909090909</v>
      </c>
      <c r="G111" s="23">
        <v>8598</v>
      </c>
      <c r="H111" s="24">
        <f>Table37[[#This Row],[FEET5]]/5280</f>
        <v>4.6022727272727271E-2</v>
      </c>
      <c r="I111" s="24">
        <v>243</v>
      </c>
      <c r="J111" s="28">
        <f>Table37[[#This Row],[FEET7]]/5280</f>
        <v>1.8308712121212121</v>
      </c>
      <c r="K111" s="28">
        <v>9667</v>
      </c>
      <c r="L111" s="25">
        <f>Table37[[#This Row],[FEET9]]/5280</f>
        <v>0</v>
      </c>
      <c r="M111" s="15"/>
    </row>
    <row r="112" spans="1:13" ht="15.75" thickBot="1" x14ac:dyDescent="0.3">
      <c r="A112" s="30"/>
      <c r="B112" s="27" t="s">
        <v>10</v>
      </c>
      <c r="C112" s="27" t="s">
        <v>103</v>
      </c>
      <c r="D112" s="28"/>
      <c r="E112" s="29"/>
      <c r="F112" s="23">
        <f>Table37[[#This Row],[FEET3]]/5280</f>
        <v>1.8625</v>
      </c>
      <c r="G112" s="20">
        <v>9834</v>
      </c>
      <c r="H112" s="21">
        <f>Table37[[#This Row],[FEET5]]/5280</f>
        <v>0.37310606060606061</v>
      </c>
      <c r="I112" s="21">
        <v>1970</v>
      </c>
      <c r="J112" s="29">
        <f>Table37[[#This Row],[FEET7]]/5280</f>
        <v>4.5361742424242424</v>
      </c>
      <c r="K112" s="29">
        <v>23951</v>
      </c>
      <c r="L112" s="22">
        <f>Table37[[#This Row],[FEET9]]/5280</f>
        <v>0</v>
      </c>
      <c r="M112" s="13"/>
    </row>
    <row r="113" spans="1:13" ht="15.75" thickBot="1" x14ac:dyDescent="0.3">
      <c r="A113" s="30"/>
      <c r="B113" s="31" t="s">
        <v>10</v>
      </c>
      <c r="C113" s="31" t="s">
        <v>231</v>
      </c>
      <c r="D113" s="28"/>
      <c r="E113" s="28"/>
      <c r="F113" s="23">
        <f>Table37[[#This Row],[FEET3]]/5280</f>
        <v>1.303219696969697</v>
      </c>
      <c r="G113" s="23">
        <v>6881</v>
      </c>
      <c r="H113" s="24">
        <f>Table37[[#This Row],[FEET5]]/5280</f>
        <v>0</v>
      </c>
      <c r="I113" s="24"/>
      <c r="J113" s="28">
        <f>Table37[[#This Row],[FEET7]]/5280</f>
        <v>1.2666666666666666</v>
      </c>
      <c r="K113" s="28">
        <v>6688</v>
      </c>
      <c r="L113" s="25">
        <f>Table37[[#This Row],[FEET9]]/5280</f>
        <v>0</v>
      </c>
      <c r="M113" s="15"/>
    </row>
    <row r="114" spans="1:13" ht="15.75" thickBot="1" x14ac:dyDescent="0.3">
      <c r="A114" s="30"/>
      <c r="B114" s="27" t="s">
        <v>28</v>
      </c>
      <c r="C114" s="27" t="s">
        <v>232</v>
      </c>
      <c r="D114" s="28"/>
      <c r="E114" s="29"/>
      <c r="F114" s="23">
        <f>Table37[[#This Row],[FEET3]]/5280</f>
        <v>1.1787878787878787</v>
      </c>
      <c r="G114" s="20">
        <f>1883+1883+1229+1229</f>
        <v>6224</v>
      </c>
      <c r="H114" s="21">
        <f>Table37[[#This Row],[FEET5]]/5280</f>
        <v>0</v>
      </c>
      <c r="I114" s="21"/>
      <c r="J114" s="29">
        <f>Table37[[#This Row],[FEET7]]/5280</f>
        <v>1.2856060606060606</v>
      </c>
      <c r="K114" s="29">
        <f>139+139+136+136+1884+1884+1235+1235</f>
        <v>6788</v>
      </c>
      <c r="L114" s="22">
        <f>Table37[[#This Row],[FEET9]]/5280</f>
        <v>0.78560227272727268</v>
      </c>
      <c r="M114" s="13">
        <f>1054+1054+151+169+1719.98</f>
        <v>4147.9799999999996</v>
      </c>
    </row>
    <row r="115" spans="1:13" ht="15.75" thickBot="1" x14ac:dyDescent="0.3">
      <c r="A115" s="30"/>
      <c r="B115" s="31" t="s">
        <v>28</v>
      </c>
      <c r="C115" s="31" t="s">
        <v>180</v>
      </c>
      <c r="D115" s="28"/>
      <c r="E115" s="28"/>
      <c r="F115" s="23">
        <f>Table37[[#This Row],[FEET3]]/5280</f>
        <v>0.29715909090909093</v>
      </c>
      <c r="G115" s="23">
        <v>1569</v>
      </c>
      <c r="H115" s="24">
        <f>Table37[[#This Row],[FEET5]]/5280</f>
        <v>0</v>
      </c>
      <c r="I115" s="24"/>
      <c r="J115" s="28">
        <f>Table37[[#This Row],[FEET7]]/5280</f>
        <v>0.35852272727272727</v>
      </c>
      <c r="K115" s="28">
        <v>1893</v>
      </c>
      <c r="L115" s="25">
        <f>Table37[[#This Row],[FEET9]]/5280</f>
        <v>9.0909090909090912E-2</v>
      </c>
      <c r="M115" s="15">
        <v>480</v>
      </c>
    </row>
    <row r="116" spans="1:13" ht="15.75" thickBot="1" x14ac:dyDescent="0.3">
      <c r="A116" s="30"/>
      <c r="B116" s="27" t="s">
        <v>28</v>
      </c>
      <c r="C116" s="27" t="s">
        <v>181</v>
      </c>
      <c r="D116" s="28"/>
      <c r="E116" s="29"/>
      <c r="F116" s="23">
        <f>Table37[[#This Row],[FEET3]]/5280</f>
        <v>0.47992424242424242</v>
      </c>
      <c r="G116" s="20">
        <f>1267*2</f>
        <v>2534</v>
      </c>
      <c r="H116" s="21">
        <f>Table37[[#This Row],[FEET5]]/5280</f>
        <v>0</v>
      </c>
      <c r="I116" s="21"/>
      <c r="J116" s="29">
        <f>Table37[[#This Row],[FEET7]]/5280</f>
        <v>0.53106060606060601</v>
      </c>
      <c r="K116" s="29">
        <v>2804</v>
      </c>
      <c r="L116" s="22">
        <f>Table37[[#This Row],[FEET9]]/5280</f>
        <v>0.45321969696969699</v>
      </c>
      <c r="M116" s="13">
        <f>(1126*2)+(1267-1126)</f>
        <v>2393</v>
      </c>
    </row>
    <row r="117" spans="1:13" ht="15.75" thickBot="1" x14ac:dyDescent="0.3">
      <c r="A117" s="30"/>
      <c r="B117" s="31" t="s">
        <v>30</v>
      </c>
      <c r="C117" s="31" t="s">
        <v>267</v>
      </c>
      <c r="D117" s="28"/>
      <c r="E117" s="28"/>
      <c r="F117" s="23">
        <f>Table37[[#This Row],[FEET3]]/5280</f>
        <v>3.7801136363636365</v>
      </c>
      <c r="G117" s="23">
        <f>14989+4970</f>
        <v>19959</v>
      </c>
      <c r="H117" s="24">
        <f>Table37[[#This Row],[FEET5]]/5280</f>
        <v>0.55397727272727271</v>
      </c>
      <c r="I117" s="24">
        <v>2925</v>
      </c>
      <c r="J117" s="28">
        <f>Table37[[#This Row],[FEET7]]/5280</f>
        <v>8.3840909090909097</v>
      </c>
      <c r="K117" s="28">
        <f>38265+6003</f>
        <v>44268</v>
      </c>
      <c r="L117" s="25">
        <f>Table37[[#This Row],[FEET9]]/5280</f>
        <v>0</v>
      </c>
      <c r="M117" s="15"/>
    </row>
    <row r="118" spans="1:13" ht="15.75" thickBot="1" x14ac:dyDescent="0.3">
      <c r="A118" s="30"/>
      <c r="B118" s="31" t="s">
        <v>16</v>
      </c>
      <c r="C118" s="31" t="s">
        <v>183</v>
      </c>
      <c r="D118" s="28"/>
      <c r="E118" s="28"/>
      <c r="F118" s="23">
        <f>Table37[[#This Row],[FEET3]]/5280</f>
        <v>0.17537878787878788</v>
      </c>
      <c r="G118" s="23">
        <f>463*2</f>
        <v>926</v>
      </c>
      <c r="H118" s="24">
        <f>Table37[[#This Row],[FEET5]]/5280</f>
        <v>0</v>
      </c>
      <c r="I118" s="24"/>
      <c r="J118" s="28">
        <f>Table37[[#This Row],[FEET7]]/5280</f>
        <v>0.17537878787878788</v>
      </c>
      <c r="K118" s="28">
        <v>926</v>
      </c>
      <c r="L118" s="25">
        <f>Table37[[#This Row],[FEET9]]/5280</f>
        <v>0</v>
      </c>
      <c r="M118" s="15"/>
    </row>
    <row r="119" spans="1:13" ht="15.75" thickBot="1" x14ac:dyDescent="0.3">
      <c r="A119" s="30"/>
      <c r="B119" s="27" t="s">
        <v>147</v>
      </c>
      <c r="C119" s="27" t="s">
        <v>184</v>
      </c>
      <c r="D119" s="28"/>
      <c r="E119" s="29"/>
      <c r="F119" s="23">
        <f>Table37[[#This Row],[FEET3]]/5280</f>
        <v>0.39166666666666666</v>
      </c>
      <c r="G119" s="20">
        <f>166+166+868+868</f>
        <v>2068</v>
      </c>
      <c r="H119" s="21">
        <f>Table37[[#This Row],[FEET5]]/5280</f>
        <v>0.52556818181818177</v>
      </c>
      <c r="I119" s="21">
        <f>868+1334+573</f>
        <v>2775</v>
      </c>
      <c r="J119" s="29">
        <f>Table37[[#This Row],[FEET7]]/5280</f>
        <v>0</v>
      </c>
      <c r="K119" s="29"/>
      <c r="L119" s="22">
        <f>Table37[[#This Row],[FEET9]]/5280</f>
        <v>0</v>
      </c>
      <c r="M119" s="13"/>
    </row>
    <row r="120" spans="1:13" ht="15.75" thickBot="1" x14ac:dyDescent="0.3">
      <c r="A120" s="30"/>
      <c r="B120" s="31" t="s">
        <v>32</v>
      </c>
      <c r="C120" s="31" t="s">
        <v>185</v>
      </c>
      <c r="D120" s="28"/>
      <c r="E120" s="28"/>
      <c r="F120" s="23">
        <f>Table37[[#This Row],[FEET3]]/5280</f>
        <v>1.655871212121212</v>
      </c>
      <c r="G120" s="23">
        <v>8743</v>
      </c>
      <c r="H120" s="24">
        <f>Table37[[#This Row],[FEET5]]/5280</f>
        <v>0.14147727272727273</v>
      </c>
      <c r="I120" s="24">
        <v>747</v>
      </c>
      <c r="J120" s="28">
        <f>Table37[[#This Row],[FEET7]]/5280</f>
        <v>2.9532196969696969</v>
      </c>
      <c r="K120" s="28">
        <v>15593</v>
      </c>
      <c r="L120" s="25">
        <f>Table37[[#This Row],[FEET9]]/5280</f>
        <v>0.12401515151515151</v>
      </c>
      <c r="M120" s="15">
        <v>654.79999999999995</v>
      </c>
    </row>
    <row r="121" spans="1:13" ht="15.75" thickBot="1" x14ac:dyDescent="0.3">
      <c r="A121" s="30"/>
      <c r="B121" s="27" t="s">
        <v>32</v>
      </c>
      <c r="C121" s="27" t="s">
        <v>186</v>
      </c>
      <c r="D121" s="28"/>
      <c r="E121" s="29"/>
      <c r="F121" s="23">
        <f>Table37[[#This Row],[FEET3]]/5280</f>
        <v>0.61363636363636365</v>
      </c>
      <c r="G121" s="20">
        <v>3240</v>
      </c>
      <c r="H121" s="21">
        <f>Table37[[#This Row],[FEET5]]/5280</f>
        <v>0.29166666666666669</v>
      </c>
      <c r="I121" s="21">
        <v>1540</v>
      </c>
      <c r="J121" s="29">
        <f>Table37[[#This Row],[FEET7]]/5280</f>
        <v>0</v>
      </c>
      <c r="K121" s="29"/>
      <c r="L121" s="22">
        <f>Table37[[#This Row],[FEET9]]/5280</f>
        <v>0</v>
      </c>
      <c r="M121" s="13"/>
    </row>
    <row r="122" spans="1:13" ht="15.75" thickBot="1" x14ac:dyDescent="0.3">
      <c r="A122" s="30"/>
      <c r="B122" s="31" t="s">
        <v>26</v>
      </c>
      <c r="C122" s="31" t="s">
        <v>110</v>
      </c>
      <c r="D122" s="28"/>
      <c r="E122" s="28"/>
      <c r="F122" s="23">
        <f>Table37[[#This Row],[FEET3]]/5280</f>
        <v>0.48200757575757575</v>
      </c>
      <c r="G122" s="23">
        <v>2545</v>
      </c>
      <c r="H122" s="24">
        <f>Table37[[#This Row],[FEET5]]/5280</f>
        <v>0</v>
      </c>
      <c r="I122" s="24"/>
      <c r="J122" s="28">
        <f>Table37[[#This Row],[FEET7]]/5280</f>
        <v>0.33787878787878789</v>
      </c>
      <c r="K122" s="28">
        <v>1784</v>
      </c>
      <c r="L122" s="25">
        <f>Table37[[#This Row],[FEET9]]/5280</f>
        <v>0</v>
      </c>
      <c r="M122" s="15"/>
    </row>
    <row r="123" spans="1:13" ht="15.75" thickBot="1" x14ac:dyDescent="0.3">
      <c r="A123" s="5" t="s">
        <v>241</v>
      </c>
      <c r="B123" s="5"/>
      <c r="C123" s="5"/>
      <c r="D123" s="6"/>
      <c r="E123" s="7"/>
      <c r="F123" s="9">
        <f>Table37[[#This Row],[FEET3]]/5280</f>
        <v>0</v>
      </c>
      <c r="G123" s="10"/>
      <c r="H123" s="11">
        <f>Table37[[#This Row],[FEET5]]/5280</f>
        <v>0</v>
      </c>
      <c r="I123" s="12"/>
      <c r="J123" s="6">
        <f>Table37[[#This Row],[FEET7]]/5280</f>
        <v>0</v>
      </c>
      <c r="K123" s="7"/>
      <c r="L123" s="13">
        <f>Table37[[#This Row],[FEET9]]/5280</f>
        <v>0</v>
      </c>
      <c r="M123" s="14"/>
    </row>
    <row r="124" spans="1:13" ht="15.75" thickBot="1" x14ac:dyDescent="0.3">
      <c r="A124" s="26"/>
      <c r="B124" s="27" t="s">
        <v>12</v>
      </c>
      <c r="C124" s="27" t="s">
        <v>187</v>
      </c>
      <c r="D124" s="28"/>
      <c r="E124" s="29"/>
      <c r="F124" s="23">
        <f>Table37[[#This Row],[FEET3]]/5280</f>
        <v>0.95246212121212126</v>
      </c>
      <c r="G124" s="20">
        <v>5029</v>
      </c>
      <c r="H124" s="21">
        <f>Table37[[#This Row],[FEET5]]/5280</f>
        <v>0</v>
      </c>
      <c r="I124" s="21"/>
      <c r="J124" s="29">
        <f>Table37[[#This Row],[FEET7]]/5280</f>
        <v>0</v>
      </c>
      <c r="K124" s="29"/>
      <c r="L124" s="22">
        <f>Table37[[#This Row],[FEET9]]/5280</f>
        <v>0</v>
      </c>
      <c r="M124" s="13"/>
    </row>
    <row r="125" spans="1:13" ht="15.75" thickBot="1" x14ac:dyDescent="0.3">
      <c r="A125" s="26"/>
      <c r="B125" s="31" t="s">
        <v>10</v>
      </c>
      <c r="C125" s="31" t="s">
        <v>217</v>
      </c>
      <c r="D125" s="28"/>
      <c r="E125" s="28"/>
      <c r="F125" s="23">
        <f>Table37[[#This Row],[FEET3]]/5280</f>
        <v>0.74829545454545454</v>
      </c>
      <c r="G125" s="23">
        <v>3951</v>
      </c>
      <c r="H125" s="24">
        <f>Table37[[#This Row],[FEET5]]/5280</f>
        <v>0.16193181818181818</v>
      </c>
      <c r="I125" s="24">
        <v>855</v>
      </c>
      <c r="J125" s="28">
        <f>Table37[[#This Row],[FEET7]]/5280</f>
        <v>0</v>
      </c>
      <c r="K125" s="28"/>
      <c r="L125" s="25">
        <f>Table37[[#This Row],[FEET9]]/5280</f>
        <v>0</v>
      </c>
      <c r="M125" s="15"/>
    </row>
    <row r="126" spans="1:13" ht="15.75" thickBot="1" x14ac:dyDescent="0.3">
      <c r="A126" s="26"/>
      <c r="B126" s="27" t="s">
        <v>17</v>
      </c>
      <c r="C126" s="27" t="s">
        <v>218</v>
      </c>
      <c r="D126" s="28"/>
      <c r="E126" s="29"/>
      <c r="F126" s="23">
        <f>Table37[[#This Row],[FEET3]]/5280</f>
        <v>0.95227272727272727</v>
      </c>
      <c r="G126" s="20">
        <v>5028</v>
      </c>
      <c r="H126" s="21">
        <f>Table37[[#This Row],[FEET5]]/5280</f>
        <v>0.13636363636363635</v>
      </c>
      <c r="I126" s="21">
        <v>720</v>
      </c>
      <c r="J126" s="29">
        <f>Table37[[#This Row],[FEET7]]/5280</f>
        <v>0</v>
      </c>
      <c r="K126" s="29"/>
      <c r="L126" s="22">
        <f>Table37[[#This Row],[FEET9]]/5280</f>
        <v>0</v>
      </c>
      <c r="M126" s="13"/>
    </row>
    <row r="127" spans="1:13" ht="15.75" thickBot="1" x14ac:dyDescent="0.3">
      <c r="A127" s="35"/>
      <c r="B127" s="27" t="s">
        <v>257</v>
      </c>
      <c r="C127" s="31" t="s">
        <v>46</v>
      </c>
      <c r="D127" s="28"/>
      <c r="E127" s="28"/>
      <c r="F127" s="23">
        <f>Table37[[#This Row],[FEET3]]/5280</f>
        <v>0.37859848484848485</v>
      </c>
      <c r="G127" s="23">
        <v>1999</v>
      </c>
      <c r="H127" s="24">
        <f>Table37[[#This Row],[FEET5]]/5280</f>
        <v>0.2422348484848485</v>
      </c>
      <c r="I127" s="24">
        <v>1279</v>
      </c>
      <c r="J127" s="28">
        <f>Table37[[#This Row],[FEET7]]/5280</f>
        <v>0</v>
      </c>
      <c r="K127" s="28"/>
      <c r="L127" s="25">
        <f>Table37[[#This Row],[FEET9]]/5280</f>
        <v>0</v>
      </c>
      <c r="M127" s="15"/>
    </row>
    <row r="128" spans="1:13" ht="15.75" thickBot="1" x14ac:dyDescent="0.3">
      <c r="A128" s="26"/>
      <c r="B128" s="31" t="s">
        <v>159</v>
      </c>
      <c r="C128" s="31" t="s">
        <v>188</v>
      </c>
      <c r="D128" s="28"/>
      <c r="E128" s="28"/>
      <c r="F128" s="23">
        <f>Table37[[#This Row],[FEET3]]/5280</f>
        <v>1.6606060606060606</v>
      </c>
      <c r="G128" s="23">
        <f>651+738+754+621+543+1018+381+374+374+843+843+657+570+401</f>
        <v>8768</v>
      </c>
      <c r="H128" s="24">
        <f>Table37[[#This Row],[FEET5]]/5280</f>
        <v>3.9696969696969697</v>
      </c>
      <c r="I128" s="24">
        <f>651+3808+738+754+3815+621+543+859+1018+1928+781+3604+657+570+212+401</f>
        <v>20960</v>
      </c>
      <c r="J128" s="28">
        <f>Table37[[#This Row],[FEET7]]/5280</f>
        <v>0</v>
      </c>
      <c r="K128" s="28"/>
      <c r="L128" s="25">
        <f>Table37[[#This Row],[FEET9]]/5280</f>
        <v>0</v>
      </c>
      <c r="M128" s="15"/>
    </row>
    <row r="129" spans="1:15" ht="15.75" thickBot="1" x14ac:dyDescent="0.3">
      <c r="A129" s="5" t="s">
        <v>242</v>
      </c>
      <c r="B129" s="5"/>
      <c r="C129" s="5"/>
      <c r="D129" s="6"/>
      <c r="E129" s="7"/>
      <c r="F129" s="9">
        <f>Table37[[#This Row],[FEET3]]/5280</f>
        <v>0</v>
      </c>
      <c r="G129" s="10"/>
      <c r="H129" s="11">
        <f>Table37[[#This Row],[FEET5]]/5280</f>
        <v>0</v>
      </c>
      <c r="I129" s="12"/>
      <c r="J129" s="6">
        <f>Table37[[#This Row],[FEET7]]/5280</f>
        <v>0</v>
      </c>
      <c r="K129" s="7"/>
      <c r="L129" s="13">
        <f>Table37[[#This Row],[FEET9]]/5280</f>
        <v>0</v>
      </c>
      <c r="M129" s="14"/>
    </row>
    <row r="130" spans="1:15" ht="15.75" thickBot="1" x14ac:dyDescent="0.3">
      <c r="A130" s="30"/>
      <c r="B130" s="8" t="s">
        <v>26</v>
      </c>
      <c r="C130" s="31" t="s">
        <v>246</v>
      </c>
      <c r="D130" s="28"/>
      <c r="E130" s="28"/>
      <c r="F130" s="23">
        <f>Table37[[#This Row],[FEET3]]/5280</f>
        <v>1.812878787878788</v>
      </c>
      <c r="G130" s="23">
        <v>9572</v>
      </c>
      <c r="H130" s="24">
        <f>Table37[[#This Row],[FEET5]]/5280</f>
        <v>0.22670454545454546</v>
      </c>
      <c r="I130" s="24">
        <v>1197</v>
      </c>
      <c r="J130" s="28">
        <f>Table37[[#This Row],[FEET7]]/5280</f>
        <v>1.812878787878788</v>
      </c>
      <c r="K130" s="28">
        <v>9572</v>
      </c>
      <c r="L130" s="25">
        <f>Table37[[#This Row],[FEET9]]/5280</f>
        <v>0</v>
      </c>
      <c r="M130" s="15"/>
    </row>
    <row r="131" spans="1:15" ht="15.75" thickBot="1" x14ac:dyDescent="0.3">
      <c r="A131" s="30"/>
      <c r="B131" s="27" t="s">
        <v>21</v>
      </c>
      <c r="C131" s="27" t="s">
        <v>203</v>
      </c>
      <c r="D131" s="28"/>
      <c r="E131" s="29"/>
      <c r="F131" s="23">
        <f>Table37[[#This Row],[FEET3]]/5280</f>
        <v>2.1615530303030304</v>
      </c>
      <c r="G131" s="20">
        <v>11413</v>
      </c>
      <c r="H131" s="21">
        <f>Table37[[#This Row],[FEET5]]/5280</f>
        <v>0.12727272727272726</v>
      </c>
      <c r="I131" s="21">
        <v>672</v>
      </c>
      <c r="J131" s="29">
        <f>Table37[[#This Row],[FEET7]]/5280</f>
        <v>0.45511363636363639</v>
      </c>
      <c r="K131" s="29">
        <v>2403</v>
      </c>
      <c r="L131" s="22">
        <f>Table37[[#This Row],[FEET9]]/5280</f>
        <v>0</v>
      </c>
      <c r="M131" s="13"/>
    </row>
    <row r="132" spans="1:15" ht="15.75" thickBot="1" x14ac:dyDescent="0.3">
      <c r="A132" s="30"/>
      <c r="B132" s="31" t="s">
        <v>40</v>
      </c>
      <c r="C132" s="31" t="s">
        <v>189</v>
      </c>
      <c r="D132" s="28"/>
      <c r="E132" s="28"/>
      <c r="F132" s="23">
        <f>Table37[[#This Row],[FEET3]]/5280</f>
        <v>0.47897727272727275</v>
      </c>
      <c r="G132" s="23">
        <f>516+516+498+747+252</f>
        <v>2529</v>
      </c>
      <c r="H132" s="24">
        <f>Table37[[#This Row],[FEET5]]/5280</f>
        <v>0.48143939393939394</v>
      </c>
      <c r="I132" s="24">
        <f>498+707+747+338+252</f>
        <v>2542</v>
      </c>
      <c r="J132" s="28">
        <f>Table37[[#This Row],[FEET7]]/5280</f>
        <v>0</v>
      </c>
      <c r="K132" s="28"/>
      <c r="L132" s="25">
        <f>Table37[[#This Row],[FEET9]]/5280</f>
        <v>0</v>
      </c>
      <c r="M132" s="15"/>
    </row>
    <row r="133" spans="1:15" ht="15.75" thickBot="1" x14ac:dyDescent="0.3">
      <c r="A133" s="30"/>
      <c r="B133" s="27" t="s">
        <v>49</v>
      </c>
      <c r="C133" s="27" t="s">
        <v>190</v>
      </c>
      <c r="D133" s="28"/>
      <c r="E133" s="29"/>
      <c r="F133" s="23">
        <f>Table37[[#This Row],[FEET3]]/5280</f>
        <v>2.3087121212121211</v>
      </c>
      <c r="G133" s="20">
        <v>12190</v>
      </c>
      <c r="H133" s="21">
        <f>Table37[[#This Row],[FEET5]]/5280</f>
        <v>0.3443181818181818</v>
      </c>
      <c r="I133" s="21">
        <v>1818</v>
      </c>
      <c r="J133" s="29">
        <f>Table37[[#This Row],[FEET7]]/5280</f>
        <v>0</v>
      </c>
      <c r="K133" s="29"/>
      <c r="L133" s="22">
        <f>Table37[[#This Row],[FEET9]]/5280</f>
        <v>0</v>
      </c>
      <c r="M133" s="13"/>
    </row>
    <row r="134" spans="1:15" ht="15.75" thickBot="1" x14ac:dyDescent="0.3">
      <c r="A134" s="30"/>
      <c r="B134" s="8" t="s">
        <v>191</v>
      </c>
      <c r="C134" s="31" t="s">
        <v>260</v>
      </c>
      <c r="D134" s="28"/>
      <c r="E134" s="28"/>
      <c r="F134" s="23">
        <f>Table37[[#This Row],[FEET3]]/5280</f>
        <v>3.3844696969696968</v>
      </c>
      <c r="G134" s="23">
        <v>17870</v>
      </c>
      <c r="H134" s="24">
        <f>Table37[[#This Row],[FEET5]]/5280</f>
        <v>9.8484848484848481E-2</v>
      </c>
      <c r="I134" s="24">
        <v>520</v>
      </c>
      <c r="J134" s="28">
        <f>Table37[[#This Row],[FEET7]]/5280</f>
        <v>0.48484848484848486</v>
      </c>
      <c r="K134" s="28">
        <v>2560</v>
      </c>
      <c r="L134" s="25">
        <f>Table37[[#This Row],[FEET9]]/5280</f>
        <v>0</v>
      </c>
      <c r="M134" s="15"/>
    </row>
    <row r="135" spans="1:15" ht="15.75" thickBot="1" x14ac:dyDescent="0.3">
      <c r="A135" s="26"/>
      <c r="B135" s="27" t="s">
        <v>154</v>
      </c>
      <c r="C135" s="27" t="s">
        <v>261</v>
      </c>
      <c r="D135" s="29"/>
      <c r="E135" s="29"/>
      <c r="F135" s="20">
        <f>Table37[[#This Row],[FEET3]]/5280</f>
        <v>4.78</v>
      </c>
      <c r="G135" s="20">
        <v>25238.400000000001</v>
      </c>
      <c r="H135" s="21">
        <f>Table37[[#This Row],[FEET5]]/5280</f>
        <v>0</v>
      </c>
      <c r="I135" s="21"/>
      <c r="J135" s="29">
        <f>Table37[[#This Row],[FEET7]]/5280</f>
        <v>4.78</v>
      </c>
      <c r="K135" s="29">
        <v>25238.400000000001</v>
      </c>
      <c r="L135" s="22">
        <f>Table37[[#This Row],[FEET9]]/5280</f>
        <v>1.1949810606060607</v>
      </c>
      <c r="M135" s="13">
        <v>6309.5</v>
      </c>
    </row>
    <row r="136" spans="1:15" ht="15.75" thickBot="1" x14ac:dyDescent="0.3">
      <c r="A136" s="26"/>
      <c r="B136" s="27" t="s">
        <v>154</v>
      </c>
      <c r="C136" s="27" t="s">
        <v>262</v>
      </c>
      <c r="D136" s="29"/>
      <c r="E136" s="29"/>
      <c r="F136" s="20">
        <f>Table37[[#This Row],[FEET3]]/5280</f>
        <v>2.2200000000000002</v>
      </c>
      <c r="G136" s="20">
        <v>11721.6</v>
      </c>
      <c r="H136" s="21">
        <f>Table37[[#This Row],[FEET5]]/5280</f>
        <v>0</v>
      </c>
      <c r="I136" s="21"/>
      <c r="J136" s="29">
        <f>Table37[[#This Row],[FEET7]]/5280</f>
        <v>2.958257575757576</v>
      </c>
      <c r="K136" s="29">
        <v>15619.6</v>
      </c>
      <c r="L136" s="22">
        <f>Table37[[#This Row],[FEET9]]/5280</f>
        <v>0.55500000000000005</v>
      </c>
      <c r="M136" s="13">
        <v>2930.4</v>
      </c>
    </row>
    <row r="137" spans="1:15" ht="15.75" thickBot="1" x14ac:dyDescent="0.3">
      <c r="A137" s="30"/>
      <c r="B137" s="65" t="s">
        <v>268</v>
      </c>
      <c r="C137" s="31" t="s">
        <v>269</v>
      </c>
      <c r="D137" s="28"/>
      <c r="E137" s="28"/>
      <c r="F137" s="23">
        <f>Table37[[#This Row],[FEET3]]/5280</f>
        <v>1.3285984848484849</v>
      </c>
      <c r="G137" s="23">
        <v>7015</v>
      </c>
      <c r="H137" s="24">
        <f>Table37[[#This Row],[FEET5]]/5280</f>
        <v>9.4696969696969696E-2</v>
      </c>
      <c r="I137" s="24">
        <v>500</v>
      </c>
      <c r="J137" s="28">
        <f>Table37[[#This Row],[FEET7]]/5280</f>
        <v>2.372348484848485</v>
      </c>
      <c r="K137" s="28">
        <v>12526</v>
      </c>
      <c r="L137" s="25">
        <f>Table37[[#This Row],[FEET9]]/5280</f>
        <v>0.18465909090909091</v>
      </c>
      <c r="M137" s="15">
        <v>975</v>
      </c>
    </row>
    <row r="138" spans="1:15" ht="15.75" thickBot="1" x14ac:dyDescent="0.3">
      <c r="A138" s="30"/>
      <c r="B138" s="31" t="s">
        <v>192</v>
      </c>
      <c r="C138" s="31" t="s">
        <v>193</v>
      </c>
      <c r="D138" s="28"/>
      <c r="E138" s="28"/>
      <c r="F138" s="23">
        <f>Table37[[#This Row],[FEET3]]/5280</f>
        <v>1.4804924242424242</v>
      </c>
      <c r="G138" s="23">
        <f>535+535+1526+544+365+2156+2156</f>
        <v>7817</v>
      </c>
      <c r="H138" s="24">
        <f>Table37[[#This Row],[FEET5]]/5280</f>
        <v>0.52746212121212122</v>
      </c>
      <c r="I138" s="24">
        <f>1526+544+350+365</f>
        <v>2785</v>
      </c>
      <c r="J138" s="28">
        <f>Table37[[#This Row],[FEET7]]/5280</f>
        <v>0</v>
      </c>
      <c r="K138" s="28"/>
      <c r="L138" s="25">
        <f>Table37[[#This Row],[FEET9]]/5280</f>
        <v>0</v>
      </c>
      <c r="M138" s="15"/>
    </row>
    <row r="139" spans="1:15" ht="15.75" thickBot="1" x14ac:dyDescent="0.3">
      <c r="A139" s="5" t="s">
        <v>243</v>
      </c>
      <c r="B139" s="5"/>
      <c r="C139" s="5"/>
      <c r="D139" s="6"/>
      <c r="E139" s="7"/>
      <c r="F139" s="9">
        <f>Table37[[#This Row],[FEET3]]/5280</f>
        <v>0</v>
      </c>
      <c r="G139" s="10"/>
      <c r="H139" s="11">
        <f>Table37[[#This Row],[FEET5]]/5280</f>
        <v>0</v>
      </c>
      <c r="I139" s="12"/>
      <c r="J139" s="6">
        <f>Table37[[#This Row],[FEET7]]/5280</f>
        <v>0</v>
      </c>
      <c r="K139" s="7"/>
      <c r="L139" s="13">
        <f>Table37[[#This Row],[FEET9]]/5280</f>
        <v>0</v>
      </c>
      <c r="M139" s="14"/>
    </row>
    <row r="140" spans="1:15" ht="15.75" thickBot="1" x14ac:dyDescent="0.3">
      <c r="A140" s="26"/>
      <c r="B140" s="27" t="s">
        <v>124</v>
      </c>
      <c r="C140" s="27" t="s">
        <v>195</v>
      </c>
      <c r="D140" s="28"/>
      <c r="E140" s="29"/>
      <c r="F140" s="23">
        <f>Table37[[#This Row],[FEET3]]/5280</f>
        <v>0.54015151515151516</v>
      </c>
      <c r="G140" s="20">
        <f>1426+1426</f>
        <v>2852</v>
      </c>
      <c r="H140" s="21">
        <f>Table37[[#This Row],[FEET5]]/5280</f>
        <v>0</v>
      </c>
      <c r="I140" s="21"/>
      <c r="J140" s="29">
        <f>Table37[[#This Row],[FEET7]]/5280</f>
        <v>0</v>
      </c>
      <c r="K140" s="29"/>
      <c r="L140" s="22">
        <f>Table37[[#This Row],[FEET9]]/5280</f>
        <v>0</v>
      </c>
      <c r="M140" s="13"/>
    </row>
    <row r="141" spans="1:15" ht="15.75" thickBot="1" x14ac:dyDescent="0.3">
      <c r="A141" s="63" t="s">
        <v>266</v>
      </c>
      <c r="B141" s="64"/>
      <c r="C141" s="64"/>
      <c r="D141" s="64"/>
      <c r="E141" s="64"/>
      <c r="F141" s="36">
        <f>SUM(F6:F140)</f>
        <v>298.69260984848489</v>
      </c>
      <c r="G141" s="37">
        <f>SUM(G6:G140)</f>
        <v>1577096.9800000002</v>
      </c>
      <c r="H141" s="37">
        <f>SUM(H6:H140)</f>
        <v>37.919494318181819</v>
      </c>
      <c r="I141" s="37">
        <f>SUM(I6:I140)</f>
        <v>200214.93</v>
      </c>
      <c r="J141" s="37">
        <f>SUM(J6:J140)</f>
        <v>178.73740909090915</v>
      </c>
      <c r="K141" s="37">
        <f>SUM(K6:K140)</f>
        <v>943733.52</v>
      </c>
      <c r="L141" s="37">
        <f>SUM(L6:L140)</f>
        <v>11.508140151515153</v>
      </c>
      <c r="M141" s="38">
        <f>SUM(M6:M140)</f>
        <v>60762.98</v>
      </c>
    </row>
    <row r="142" spans="1:15" x14ac:dyDescent="0.25">
      <c r="O142" s="1"/>
    </row>
    <row r="143" spans="1:15" x14ac:dyDescent="0.25">
      <c r="O143" s="1"/>
    </row>
    <row r="144" spans="1:15" x14ac:dyDescent="0.25">
      <c r="O144" s="1"/>
    </row>
    <row r="145" spans="15:15" x14ac:dyDescent="0.25">
      <c r="O145" s="1"/>
    </row>
  </sheetData>
  <mergeCells count="9">
    <mergeCell ref="A141:E141"/>
    <mergeCell ref="J1:K3"/>
    <mergeCell ref="L1:M3"/>
    <mergeCell ref="A1:A3"/>
    <mergeCell ref="B1:B3"/>
    <mergeCell ref="C1:C3"/>
    <mergeCell ref="D1:E3"/>
    <mergeCell ref="F1:G3"/>
    <mergeCell ref="H1:I3"/>
  </mergeCells>
  <pageMargins left="0.7" right="0.7" top="0.75" bottom="0.75" header="0.3" footer="0.3"/>
  <pageSetup paperSize="258" scale="41" orientation="portrait" r:id="rId1"/>
  <headerFooter>
    <oddHeader>&amp;C&amp;"-,Bold"&amp;14 2026 Pavement Markings Program &amp;R&amp;"-,Bold"&amp;14Striping: Part 1</oddHeader>
  </headerFooter>
  <rowBreaks count="1" manualBreakCount="1">
    <brk id="105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C9A4-1D2A-45FB-9860-116CE9157315}">
  <dimension ref="A1:M66"/>
  <sheetViews>
    <sheetView tabSelected="1" zoomScale="115" zoomScaleNormal="115" workbookViewId="0">
      <selection activeCell="B35" sqref="B35"/>
    </sheetView>
  </sheetViews>
  <sheetFormatPr defaultRowHeight="15" x14ac:dyDescent="0.25"/>
  <cols>
    <col min="1" max="1" width="13.28515625" customWidth="1"/>
    <col min="2" max="2" width="32.28515625" bestFit="1" customWidth="1"/>
    <col min="3" max="3" width="54.5703125" customWidth="1"/>
    <col min="4" max="4" width="8.42578125" customWidth="1"/>
    <col min="5" max="5" width="10.5703125" bestFit="1" customWidth="1"/>
    <col min="6" max="6" width="9.42578125" customWidth="1"/>
    <col min="7" max="7" width="13.28515625" bestFit="1" customWidth="1"/>
    <col min="8" max="8" width="9.42578125" customWidth="1"/>
    <col min="9" max="9" width="14" bestFit="1" customWidth="1"/>
    <col min="10" max="10" width="9.42578125" customWidth="1"/>
    <col min="11" max="11" width="13.28515625" bestFit="1" customWidth="1"/>
    <col min="12" max="12" width="9.42578125" customWidth="1"/>
    <col min="13" max="13" width="14" customWidth="1"/>
  </cols>
  <sheetData>
    <row r="1" spans="1:13" ht="15.75" customHeight="1" thickTop="1" x14ac:dyDescent="0.25">
      <c r="A1" s="51" t="s">
        <v>54</v>
      </c>
      <c r="B1" s="53" t="s">
        <v>0</v>
      </c>
      <c r="C1" s="53" t="s">
        <v>51</v>
      </c>
      <c r="D1" s="43" t="s">
        <v>1</v>
      </c>
      <c r="E1" s="44"/>
      <c r="F1" s="55" t="s">
        <v>2</v>
      </c>
      <c r="G1" s="56"/>
      <c r="H1" s="59" t="s">
        <v>90</v>
      </c>
      <c r="I1" s="60"/>
      <c r="J1" s="43" t="s">
        <v>3</v>
      </c>
      <c r="K1" s="44"/>
      <c r="L1" s="47" t="s">
        <v>4</v>
      </c>
      <c r="M1" s="48"/>
    </row>
    <row r="2" spans="1:13" x14ac:dyDescent="0.25">
      <c r="A2" s="52"/>
      <c r="B2" s="54"/>
      <c r="C2" s="54"/>
      <c r="D2" s="45"/>
      <c r="E2" s="46"/>
      <c r="F2" s="57"/>
      <c r="G2" s="58"/>
      <c r="H2" s="61"/>
      <c r="I2" s="62"/>
      <c r="J2" s="45"/>
      <c r="K2" s="46"/>
      <c r="L2" s="49"/>
      <c r="M2" s="50"/>
    </row>
    <row r="3" spans="1:13" x14ac:dyDescent="0.25">
      <c r="A3" s="52"/>
      <c r="B3" s="54"/>
      <c r="C3" s="54"/>
      <c r="D3" s="45"/>
      <c r="E3" s="46"/>
      <c r="F3" s="57"/>
      <c r="G3" s="58"/>
      <c r="H3" s="61"/>
      <c r="I3" s="62"/>
      <c r="J3" s="45"/>
      <c r="K3" s="46"/>
      <c r="L3" s="49"/>
      <c r="M3" s="50"/>
    </row>
    <row r="4" spans="1:13" ht="15.75" thickBot="1" x14ac:dyDescent="0.3">
      <c r="A4" s="2" t="s">
        <v>55</v>
      </c>
      <c r="B4" s="4" t="s">
        <v>50</v>
      </c>
      <c r="C4" s="4" t="s">
        <v>51</v>
      </c>
      <c r="D4" s="4" t="s">
        <v>52</v>
      </c>
      <c r="E4" s="4" t="s">
        <v>53</v>
      </c>
      <c r="F4" s="17" t="s">
        <v>76</v>
      </c>
      <c r="G4" s="17" t="s">
        <v>77</v>
      </c>
      <c r="H4" s="18" t="s">
        <v>78</v>
      </c>
      <c r="I4" s="18" t="s">
        <v>79</v>
      </c>
      <c r="J4" s="4" t="s">
        <v>80</v>
      </c>
      <c r="K4" s="4" t="s">
        <v>81</v>
      </c>
      <c r="L4" s="19" t="s">
        <v>82</v>
      </c>
      <c r="M4" s="3" t="s">
        <v>83</v>
      </c>
    </row>
    <row r="5" spans="1:13" ht="15.75" thickBot="1" x14ac:dyDescent="0.3">
      <c r="A5" s="5" t="s">
        <v>200</v>
      </c>
      <c r="B5" s="5"/>
      <c r="C5" s="5"/>
      <c r="D5" s="6"/>
      <c r="E5" s="7"/>
      <c r="F5" s="9">
        <f>Table32[[#This Row],[FEET3]]/5280</f>
        <v>0</v>
      </c>
      <c r="G5" s="10"/>
      <c r="H5" s="11">
        <f>Table32[[#This Row],[FEET5]]/5280</f>
        <v>0</v>
      </c>
      <c r="I5" s="12"/>
      <c r="J5" s="6">
        <f>Table32[[#This Row],[FEET7]]/5280</f>
        <v>0</v>
      </c>
      <c r="K5" s="7"/>
      <c r="L5" s="13">
        <f>Table32[[#This Row],[FEET9]]/5280</f>
        <v>0</v>
      </c>
      <c r="M5" s="14"/>
    </row>
    <row r="6" spans="1:13" ht="15.75" thickBot="1" x14ac:dyDescent="0.3">
      <c r="A6" s="26"/>
      <c r="B6" s="27" t="s">
        <v>116</v>
      </c>
      <c r="C6" s="27" t="s">
        <v>117</v>
      </c>
      <c r="D6" s="28"/>
      <c r="E6" s="29"/>
      <c r="F6" s="23">
        <f>Table32[[#This Row],[FEET3]]/5280</f>
        <v>1.2994318181818181</v>
      </c>
      <c r="G6" s="20">
        <v>6861</v>
      </c>
      <c r="H6" s="21">
        <f>Table32[[#This Row],[FEET5]]/5280</f>
        <v>8.5227272727272721E-2</v>
      </c>
      <c r="I6" s="21">
        <v>450</v>
      </c>
      <c r="J6" s="29">
        <f>Table32[[#This Row],[FEET7]]/5280</f>
        <v>1.8426136363636363</v>
      </c>
      <c r="K6" s="29">
        <v>9729</v>
      </c>
      <c r="L6" s="22">
        <f>Table32[[#This Row],[FEET9]]/5280</f>
        <v>0</v>
      </c>
      <c r="M6" s="13"/>
    </row>
    <row r="7" spans="1:13" ht="15.75" thickBot="1" x14ac:dyDescent="0.3">
      <c r="A7" s="5" t="s">
        <v>202</v>
      </c>
      <c r="B7" s="5"/>
      <c r="C7" s="5"/>
      <c r="D7" s="6"/>
      <c r="E7" s="7"/>
      <c r="F7" s="9">
        <f>Table32[[#This Row],[FEET3]]/5280</f>
        <v>0</v>
      </c>
      <c r="G7" s="10"/>
      <c r="H7" s="11">
        <f>Table32[[#This Row],[FEET5]]/5280</f>
        <v>0</v>
      </c>
      <c r="I7" s="12"/>
      <c r="J7" s="6">
        <f>Table32[[#This Row],[FEET7]]/5280</f>
        <v>0</v>
      </c>
      <c r="K7" s="7"/>
      <c r="L7" s="13">
        <f>Table32[[#This Row],[FEET9]]/5280</f>
        <v>0</v>
      </c>
      <c r="M7" s="14"/>
    </row>
    <row r="8" spans="1:13" ht="15.75" thickBot="1" x14ac:dyDescent="0.3">
      <c r="A8" s="30"/>
      <c r="B8" s="31" t="s">
        <v>101</v>
      </c>
      <c r="C8" s="31" t="s">
        <v>205</v>
      </c>
      <c r="D8" s="28"/>
      <c r="E8" s="28"/>
      <c r="F8" s="23">
        <f>Table32[[#This Row],[FEET3]]/5280</f>
        <v>2.688257575757576</v>
      </c>
      <c r="G8" s="23">
        <f>(3002*2)+1490+(3350*2)</f>
        <v>14194</v>
      </c>
      <c r="H8" s="24">
        <f>Table32[[#This Row],[FEET5]]/5280</f>
        <v>0.28219696969696972</v>
      </c>
      <c r="I8" s="24">
        <v>1490</v>
      </c>
      <c r="J8" s="28">
        <f>Table32[[#This Row],[FEET7]]/5280</f>
        <v>0</v>
      </c>
      <c r="K8" s="28"/>
      <c r="L8" s="25">
        <f>Table32[[#This Row],[FEET9]]/5280</f>
        <v>0</v>
      </c>
      <c r="M8" s="15"/>
    </row>
    <row r="9" spans="1:13" ht="15.75" thickBot="1" x14ac:dyDescent="0.3">
      <c r="A9" s="26"/>
      <c r="B9" s="27" t="s">
        <v>123</v>
      </c>
      <c r="C9" s="27" t="s">
        <v>206</v>
      </c>
      <c r="D9" s="28"/>
      <c r="E9" s="29"/>
      <c r="F9" s="23">
        <f>Table32[[#This Row],[FEET3]]/5280</f>
        <v>0.64337121212121207</v>
      </c>
      <c r="G9" s="20">
        <v>3397</v>
      </c>
      <c r="H9" s="21">
        <f>Table32[[#This Row],[FEET5]]/5280</f>
        <v>0.35473484848484849</v>
      </c>
      <c r="I9" s="21">
        <v>1873</v>
      </c>
      <c r="J9" s="29">
        <f>Table32[[#This Row],[FEET7]]/5280</f>
        <v>0</v>
      </c>
      <c r="K9" s="29"/>
      <c r="L9" s="22">
        <f>Table32[[#This Row],[FEET9]]/5280</f>
        <v>0</v>
      </c>
      <c r="M9" s="13"/>
    </row>
    <row r="10" spans="1:13" ht="15.75" thickBot="1" x14ac:dyDescent="0.3">
      <c r="A10" s="30"/>
      <c r="B10" s="31" t="s">
        <v>124</v>
      </c>
      <c r="C10" s="31" t="s">
        <v>100</v>
      </c>
      <c r="D10" s="28"/>
      <c r="E10" s="28"/>
      <c r="F10" s="23">
        <f>Table32[[#This Row],[FEET3]]/5280</f>
        <v>0.23598484848484849</v>
      </c>
      <c r="G10" s="23">
        <v>1246</v>
      </c>
      <c r="H10" s="24">
        <f>Table32[[#This Row],[FEET5]]/5280</f>
        <v>0.23655303030303029</v>
      </c>
      <c r="I10" s="24">
        <v>1249</v>
      </c>
      <c r="J10" s="28">
        <f>Table32[[#This Row],[FEET7]]/5280</f>
        <v>0</v>
      </c>
      <c r="K10" s="28"/>
      <c r="L10" s="25">
        <f>Table32[[#This Row],[FEET9]]/5280</f>
        <v>0</v>
      </c>
      <c r="M10" s="15"/>
    </row>
    <row r="11" spans="1:13" ht="15.75" thickBot="1" x14ac:dyDescent="0.3">
      <c r="A11" s="26"/>
      <c r="B11" s="27" t="s">
        <v>125</v>
      </c>
      <c r="C11" s="27" t="s">
        <v>99</v>
      </c>
      <c r="D11" s="28"/>
      <c r="E11" s="29"/>
      <c r="F11" s="23">
        <f>Table32[[#This Row],[FEET3]]/5280</f>
        <v>3.0950757575757577</v>
      </c>
      <c r="G11" s="20">
        <v>16342</v>
      </c>
      <c r="H11" s="21">
        <f>Table32[[#This Row],[FEET5]]/5280</f>
        <v>0.64223484848484846</v>
      </c>
      <c r="I11" s="21">
        <v>3391</v>
      </c>
      <c r="J11" s="29">
        <f>Table32[[#This Row],[FEET7]]/5280</f>
        <v>0</v>
      </c>
      <c r="K11" s="29"/>
      <c r="L11" s="22">
        <f>Table32[[#This Row],[FEET9]]/5280</f>
        <v>0</v>
      </c>
      <c r="M11" s="13"/>
    </row>
    <row r="12" spans="1:13" ht="15.75" thickBot="1" x14ac:dyDescent="0.3">
      <c r="A12" s="30"/>
      <c r="B12" s="8" t="s">
        <v>19</v>
      </c>
      <c r="C12" s="31" t="s">
        <v>263</v>
      </c>
      <c r="D12" s="28"/>
      <c r="E12" s="28"/>
      <c r="F12" s="23">
        <f>Table32[[#This Row],[FEET3]]/5280</f>
        <v>4.6159090909090912</v>
      </c>
      <c r="G12" s="23">
        <v>24372</v>
      </c>
      <c r="H12" s="24">
        <f>Table32[[#This Row],[FEET5]]/5280</f>
        <v>0.61242234848484856</v>
      </c>
      <c r="I12" s="24">
        <v>3233.59</v>
      </c>
      <c r="J12" s="28">
        <f>Table32[[#This Row],[FEET7]]/5280</f>
        <v>3.500757575757576</v>
      </c>
      <c r="K12" s="28">
        <v>18484</v>
      </c>
      <c r="L12" s="25">
        <f>Table32[[#This Row],[FEET9]]/5280</f>
        <v>0</v>
      </c>
      <c r="M12" s="15"/>
    </row>
    <row r="13" spans="1:13" ht="15.75" thickBot="1" x14ac:dyDescent="0.3">
      <c r="A13" s="5" t="s">
        <v>201</v>
      </c>
      <c r="B13" s="5"/>
      <c r="C13" s="5"/>
      <c r="D13" s="6"/>
      <c r="E13" s="7"/>
      <c r="F13" s="9">
        <f>Table32[[#This Row],[FEET3]]/5280</f>
        <v>0</v>
      </c>
      <c r="G13" s="10"/>
      <c r="H13" s="11">
        <f>Table32[[#This Row],[FEET5]]/5280</f>
        <v>0</v>
      </c>
      <c r="I13" s="12"/>
      <c r="J13" s="6">
        <f>Table32[[#This Row],[FEET7]]/5280</f>
        <v>0</v>
      </c>
      <c r="K13" s="7"/>
      <c r="L13" s="13">
        <f>Table32[[#This Row],[FEET9]]/5280</f>
        <v>0</v>
      </c>
      <c r="M13" s="14"/>
    </row>
    <row r="14" spans="1:13" ht="15.75" thickBot="1" x14ac:dyDescent="0.3">
      <c r="A14" s="26"/>
      <c r="B14" s="27" t="s">
        <v>27</v>
      </c>
      <c r="C14" s="27" t="s">
        <v>29</v>
      </c>
      <c r="D14" s="28"/>
      <c r="E14" s="29"/>
      <c r="F14" s="23">
        <f>Table32[[#This Row],[FEET3]]/5280</f>
        <v>2.9651515151515153</v>
      </c>
      <c r="G14" s="20">
        <v>15656</v>
      </c>
      <c r="H14" s="21">
        <f>Table32[[#This Row],[FEET5]]/5280</f>
        <v>0.28314393939393939</v>
      </c>
      <c r="I14" s="21">
        <v>1495</v>
      </c>
      <c r="J14" s="29">
        <f>Table32[[#This Row],[FEET7]]/5280</f>
        <v>4.5265151515151514</v>
      </c>
      <c r="K14" s="29">
        <v>23900</v>
      </c>
      <c r="L14" s="22">
        <f>Table32[[#This Row],[FEET9]]/5280</f>
        <v>0</v>
      </c>
      <c r="M14" s="13"/>
    </row>
    <row r="15" spans="1:13" ht="15.75" thickBot="1" x14ac:dyDescent="0.3">
      <c r="A15" s="30"/>
      <c r="B15" s="33" t="s">
        <v>27</v>
      </c>
      <c r="C15" s="31" t="s">
        <v>247</v>
      </c>
      <c r="D15" s="28"/>
      <c r="E15" s="28"/>
      <c r="F15" s="23">
        <f>Table32[[#This Row],[FEET3]]/5280</f>
        <v>0</v>
      </c>
      <c r="G15" s="23"/>
      <c r="H15" s="24">
        <f>Table32[[#This Row],[FEET5]]/5280</f>
        <v>0.29749999999999999</v>
      </c>
      <c r="I15" s="24">
        <v>1570.8</v>
      </c>
      <c r="J15" s="28">
        <f>Table32[[#This Row],[FEET7]]/5280</f>
        <v>0</v>
      </c>
      <c r="K15" s="28"/>
      <c r="L15" s="25">
        <f>Table32[[#This Row],[FEET9]]/5280</f>
        <v>0</v>
      </c>
      <c r="M15" s="15"/>
    </row>
    <row r="16" spans="1:13" ht="15.75" thickBot="1" x14ac:dyDescent="0.3">
      <c r="A16" s="26"/>
      <c r="B16" s="27" t="s">
        <v>6</v>
      </c>
      <c r="C16" s="27" t="s">
        <v>129</v>
      </c>
      <c r="D16" s="28"/>
      <c r="E16" s="29"/>
      <c r="F16" s="23">
        <f>Table32[[#This Row],[FEET3]]/5280</f>
        <v>1.3837121212121213</v>
      </c>
      <c r="G16" s="20">
        <f>6420+468+418</f>
        <v>7306</v>
      </c>
      <c r="H16" s="21">
        <f>Table32[[#This Row],[FEET5]]/5280</f>
        <v>0.72916666666666663</v>
      </c>
      <c r="I16" s="21">
        <f>468+1513+1451+418</f>
        <v>3850</v>
      </c>
      <c r="J16" s="29">
        <f>Table32[[#This Row],[FEET7]]/5280</f>
        <v>0</v>
      </c>
      <c r="K16" s="29"/>
      <c r="L16" s="22">
        <f>Table32[[#This Row],[FEET9]]/5280</f>
        <v>0</v>
      </c>
      <c r="M16" s="13"/>
    </row>
    <row r="17" spans="1:13" ht="15.75" thickBot="1" x14ac:dyDescent="0.3">
      <c r="A17" s="26"/>
      <c r="B17" s="27" t="s">
        <v>120</v>
      </c>
      <c r="C17" s="27" t="s">
        <v>133</v>
      </c>
      <c r="D17" s="28"/>
      <c r="E17" s="29"/>
      <c r="F17" s="23">
        <f>Table32[[#This Row],[FEET3]]/5280</f>
        <v>2.0948863636363635</v>
      </c>
      <c r="G17" s="20">
        <v>11061</v>
      </c>
      <c r="H17" s="21">
        <f>Table32[[#This Row],[FEET5]]/5280</f>
        <v>0.22329545454545455</v>
      </c>
      <c r="I17" s="21">
        <v>1179</v>
      </c>
      <c r="J17" s="29">
        <f>Table32[[#This Row],[FEET7]]/5280</f>
        <v>1.897348484848485</v>
      </c>
      <c r="K17" s="29">
        <v>10018</v>
      </c>
      <c r="L17" s="22">
        <f>Table32[[#This Row],[FEET9]]/5280</f>
        <v>0</v>
      </c>
      <c r="M17" s="13"/>
    </row>
    <row r="18" spans="1:13" ht="15.75" thickBot="1" x14ac:dyDescent="0.3">
      <c r="A18" s="5" t="s">
        <v>221</v>
      </c>
      <c r="B18" s="5"/>
      <c r="C18" s="5"/>
      <c r="D18" s="6"/>
      <c r="E18" s="7"/>
      <c r="F18" s="9">
        <f>Table32[[#This Row],[FEET3]]/5280</f>
        <v>0</v>
      </c>
      <c r="G18" s="10"/>
      <c r="H18" s="11">
        <f>Table32[[#This Row],[FEET5]]/5280</f>
        <v>0</v>
      </c>
      <c r="I18" s="12"/>
      <c r="J18" s="6">
        <f>Table32[[#This Row],[FEET7]]/5280</f>
        <v>0</v>
      </c>
      <c r="K18" s="7"/>
      <c r="L18" s="13">
        <f>Table32[[#This Row],[FEET9]]/5280</f>
        <v>0</v>
      </c>
      <c r="M18" s="14"/>
    </row>
    <row r="19" spans="1:13" ht="15.75" thickBot="1" x14ac:dyDescent="0.3">
      <c r="A19" s="26"/>
      <c r="B19" s="27" t="s">
        <v>135</v>
      </c>
      <c r="C19" s="27" t="s">
        <v>207</v>
      </c>
      <c r="D19" s="28"/>
      <c r="E19" s="29"/>
      <c r="F19" s="23">
        <f>Table32[[#This Row],[FEET3]]/5280</f>
        <v>1.1210227272727273</v>
      </c>
      <c r="G19" s="20">
        <v>5919</v>
      </c>
      <c r="H19" s="21">
        <f>Table32[[#This Row],[FEET5]]/5280</f>
        <v>0.38181818181818183</v>
      </c>
      <c r="I19" s="21">
        <v>2016</v>
      </c>
      <c r="J19" s="29">
        <f>Table32[[#This Row],[FEET7]]/5280</f>
        <v>0</v>
      </c>
      <c r="K19" s="29"/>
      <c r="L19" s="22">
        <f>Table32[[#This Row],[FEET9]]/5280</f>
        <v>0</v>
      </c>
      <c r="M19" s="13"/>
    </row>
    <row r="20" spans="1:13" ht="15.75" thickBot="1" x14ac:dyDescent="0.3">
      <c r="A20" s="30"/>
      <c r="B20" s="8" t="s">
        <v>136</v>
      </c>
      <c r="C20" s="31" t="s">
        <v>265</v>
      </c>
      <c r="D20" s="28"/>
      <c r="E20" s="28"/>
      <c r="F20" s="23">
        <f>Table32[[#This Row],[FEET3]]/5280</f>
        <v>5.0596590909090908</v>
      </c>
      <c r="G20" s="23">
        <f>26056+659</f>
        <v>26715</v>
      </c>
      <c r="H20" s="24">
        <f>Table32[[#This Row],[FEET5]]/5280</f>
        <v>1.3111742424242425</v>
      </c>
      <c r="I20" s="24">
        <f>1836+5087</f>
        <v>6923</v>
      </c>
      <c r="J20" s="28">
        <f>Table32[[#This Row],[FEET7]]/5280</f>
        <v>0</v>
      </c>
      <c r="K20" s="28"/>
      <c r="L20" s="25">
        <f>Table32[[#This Row],[FEET9]]/5280</f>
        <v>0</v>
      </c>
      <c r="M20" s="15"/>
    </row>
    <row r="21" spans="1:13" ht="15.75" thickBot="1" x14ac:dyDescent="0.3">
      <c r="A21" s="26"/>
      <c r="B21" s="27" t="s">
        <v>34</v>
      </c>
      <c r="C21" s="27" t="s">
        <v>209</v>
      </c>
      <c r="D21" s="28"/>
      <c r="E21" s="29"/>
      <c r="F21" s="23">
        <f>Table32[[#This Row],[FEET3]]/5280</f>
        <v>0.9928030303030303</v>
      </c>
      <c r="G21" s="20">
        <f>2621*2</f>
        <v>5242</v>
      </c>
      <c r="H21" s="21">
        <f>Table32[[#This Row],[FEET5]]/5280</f>
        <v>0</v>
      </c>
      <c r="I21" s="21"/>
      <c r="J21" s="29">
        <f>Table32[[#This Row],[FEET7]]/5280</f>
        <v>0</v>
      </c>
      <c r="K21" s="29"/>
      <c r="L21" s="22">
        <f>Table32[[#This Row],[FEET9]]/5280</f>
        <v>0</v>
      </c>
      <c r="M21" s="13"/>
    </row>
    <row r="22" spans="1:13" ht="15.75" thickBot="1" x14ac:dyDescent="0.3">
      <c r="A22" s="5" t="s">
        <v>222</v>
      </c>
      <c r="B22" s="5"/>
      <c r="C22" s="5"/>
      <c r="D22" s="6"/>
      <c r="E22" s="7"/>
      <c r="F22" s="9">
        <f>Table32[[#This Row],[FEET3]]/5280</f>
        <v>0</v>
      </c>
      <c r="G22" s="10"/>
      <c r="H22" s="11">
        <f>Table32[[#This Row],[FEET5]]/5280</f>
        <v>0</v>
      </c>
      <c r="I22" s="12"/>
      <c r="J22" s="6">
        <f>Table32[[#This Row],[FEET7]]/5280</f>
        <v>0</v>
      </c>
      <c r="K22" s="7"/>
      <c r="L22" s="13">
        <f>Table32[[#This Row],[FEET9]]/5280</f>
        <v>0</v>
      </c>
      <c r="M22" s="14"/>
    </row>
    <row r="23" spans="1:13" ht="15.75" thickBot="1" x14ac:dyDescent="0.3">
      <c r="A23" s="30"/>
      <c r="B23" s="31" t="s">
        <v>70</v>
      </c>
      <c r="C23" s="31" t="s">
        <v>140</v>
      </c>
      <c r="D23" s="28"/>
      <c r="E23" s="28"/>
      <c r="F23" s="23">
        <f>Table32[[#This Row],[FEET3]]/5280</f>
        <v>0.33799242424242421</v>
      </c>
      <c r="G23" s="23">
        <v>1784.6</v>
      </c>
      <c r="H23" s="24">
        <f>Table32[[#This Row],[FEET5]]/5280</f>
        <v>0</v>
      </c>
      <c r="I23" s="24"/>
      <c r="J23" s="28">
        <f>Table32[[#This Row],[FEET7]]/5280</f>
        <v>0.45198863636363634</v>
      </c>
      <c r="K23" s="28">
        <v>2386.5</v>
      </c>
      <c r="L23" s="25">
        <f>Table32[[#This Row],[FEET9]]/5280</f>
        <v>0</v>
      </c>
      <c r="M23" s="15"/>
    </row>
    <row r="24" spans="1:13" ht="15.75" thickBot="1" x14ac:dyDescent="0.3">
      <c r="A24" s="30"/>
      <c r="B24" s="31" t="s">
        <v>143</v>
      </c>
      <c r="C24" s="31" t="s">
        <v>88</v>
      </c>
      <c r="D24" s="28"/>
      <c r="E24" s="28"/>
      <c r="F24" s="23">
        <f>Table32[[#This Row],[FEET3]]/5280</f>
        <v>5.3292424242424241</v>
      </c>
      <c r="G24" s="23">
        <v>28138.400000000001</v>
      </c>
      <c r="H24" s="24">
        <f>Table32[[#This Row],[FEET5]]/5280</f>
        <v>0.48028409090909091</v>
      </c>
      <c r="I24" s="24">
        <v>2535.9</v>
      </c>
      <c r="J24" s="28">
        <f>Table32[[#This Row],[FEET7]]/5280</f>
        <v>7.5128787878787877</v>
      </c>
      <c r="K24" s="28">
        <v>39668</v>
      </c>
      <c r="L24" s="25">
        <f>Table32[[#This Row],[FEET9]]/5280</f>
        <v>0</v>
      </c>
      <c r="M24" s="15"/>
    </row>
    <row r="25" spans="1:13" ht="15.75" thickBot="1" x14ac:dyDescent="0.3">
      <c r="A25" s="26"/>
      <c r="B25" s="27" t="s">
        <v>116</v>
      </c>
      <c r="C25" s="27" t="s">
        <v>227</v>
      </c>
      <c r="D25" s="28"/>
      <c r="E25" s="29"/>
      <c r="F25" s="23">
        <f>Table32[[#This Row],[FEET3]]/5280</f>
        <v>0.26874999999999999</v>
      </c>
      <c r="G25" s="20">
        <v>1419</v>
      </c>
      <c r="H25" s="21">
        <f>Table32[[#This Row],[FEET5]]/5280</f>
        <v>0</v>
      </c>
      <c r="I25" s="21"/>
      <c r="J25" s="29">
        <f>Table32[[#This Row],[FEET7]]/5280</f>
        <v>0.31022727272727274</v>
      </c>
      <c r="K25" s="29">
        <v>1638</v>
      </c>
      <c r="L25" s="22">
        <f>Table32[[#This Row],[FEET9]]/5280</f>
        <v>0</v>
      </c>
      <c r="M25" s="13"/>
    </row>
    <row r="26" spans="1:13" ht="15.75" thickBot="1" x14ac:dyDescent="0.3">
      <c r="A26" s="26"/>
      <c r="B26" s="27" t="s">
        <v>118</v>
      </c>
      <c r="C26" s="27" t="s">
        <v>145</v>
      </c>
      <c r="D26" s="29"/>
      <c r="E26" s="29"/>
      <c r="F26" s="20">
        <f>Table32[[#This Row],[FEET3]]/5280</f>
        <v>1.9416666666666667</v>
      </c>
      <c r="G26" s="20">
        <f>(1216*2)+274+590+1062+518+(2*2688)</f>
        <v>10252</v>
      </c>
      <c r="H26" s="21">
        <f>Table32[[#This Row],[FEET5]]/5280</f>
        <v>0.41041666666666665</v>
      </c>
      <c r="I26" s="21">
        <f>518+587+1062</f>
        <v>2167</v>
      </c>
      <c r="J26" s="29">
        <f>Table32[[#This Row],[FEET7]]/5280</f>
        <v>2.5253787878787879</v>
      </c>
      <c r="K26" s="29">
        <f>(6547*2)+240</f>
        <v>13334</v>
      </c>
      <c r="L26" s="22">
        <f>Table32[[#This Row],[FEET9]]/5280</f>
        <v>0</v>
      </c>
      <c r="M26" s="13"/>
    </row>
    <row r="27" spans="1:13" ht="15.75" thickBot="1" x14ac:dyDescent="0.3">
      <c r="A27" s="26"/>
      <c r="B27" s="27" t="s">
        <v>16</v>
      </c>
      <c r="C27" s="27" t="s">
        <v>211</v>
      </c>
      <c r="D27" s="28"/>
      <c r="E27" s="29"/>
      <c r="F27" s="23">
        <f>Table32[[#This Row],[FEET3]]/5280</f>
        <v>5.2441287878787879</v>
      </c>
      <c r="G27" s="20">
        <f>(2*504)+(1422*2)+310+526+(569*2)+1356+(465*2)+(1983*2)+421+351+(1751*2)+481+456+(530*2)+618+1650+(461*2)+(2740*2)+670</f>
        <v>27689</v>
      </c>
      <c r="H27" s="21">
        <f>Table32[[#This Row],[FEET5]]/5280</f>
        <v>2.5102272727272728</v>
      </c>
      <c r="I27" s="21">
        <f>310+1526+526+2628+1356+421+1089+351+481+459+456+618+213+1650+1170</f>
        <v>13254</v>
      </c>
      <c r="J27" s="29">
        <f>Table32[[#This Row],[FEET7]]/5280</f>
        <v>0</v>
      </c>
      <c r="K27" s="29"/>
      <c r="L27" s="22">
        <f>Table32[[#This Row],[FEET9]]/5280</f>
        <v>0</v>
      </c>
      <c r="M27" s="13"/>
    </row>
    <row r="28" spans="1:13" ht="15.75" thickBot="1" x14ac:dyDescent="0.3">
      <c r="A28" s="30"/>
      <c r="B28" s="8" t="s">
        <v>147</v>
      </c>
      <c r="C28" s="8" t="s">
        <v>264</v>
      </c>
      <c r="D28" s="28"/>
      <c r="E28" s="28"/>
      <c r="F28" s="23">
        <f>Table32[[#This Row],[FEET3]]/5280</f>
        <v>0.13390151515151516</v>
      </c>
      <c r="G28" s="23">
        <f>110+597</f>
        <v>707</v>
      </c>
      <c r="H28" s="24">
        <f>Table32[[#This Row],[FEET5]]/5280</f>
        <v>0</v>
      </c>
      <c r="I28" s="24"/>
      <c r="J28" s="28">
        <f>Table32[[#This Row],[FEET7]]/5280</f>
        <v>0.32064393939393937</v>
      </c>
      <c r="K28" s="28">
        <f>108+91+113+657+724</f>
        <v>1693</v>
      </c>
      <c r="L28" s="25">
        <f>Table32[[#This Row],[FEET9]]/5280</f>
        <v>0</v>
      </c>
      <c r="M28" s="15"/>
    </row>
    <row r="29" spans="1:13" ht="15.75" thickBot="1" x14ac:dyDescent="0.3">
      <c r="A29" s="26"/>
      <c r="B29" s="27" t="s">
        <v>147</v>
      </c>
      <c r="C29" s="27" t="s">
        <v>150</v>
      </c>
      <c r="D29" s="28"/>
      <c r="E29" s="29"/>
      <c r="F29" s="23">
        <f>Table32[[#This Row],[FEET3]]/5280</f>
        <v>8.5833333333333339</v>
      </c>
      <c r="G29" s="20">
        <v>45320</v>
      </c>
      <c r="H29" s="21">
        <f>Table32[[#This Row],[FEET5]]/5280</f>
        <v>0.72253787878787878</v>
      </c>
      <c r="I29" s="21">
        <v>3815</v>
      </c>
      <c r="J29" s="29">
        <f>Table32[[#This Row],[FEET7]]/5280</f>
        <v>2.0425094696969697</v>
      </c>
      <c r="K29" s="29">
        <v>10784.45</v>
      </c>
      <c r="L29" s="22">
        <f>Table32[[#This Row],[FEET9]]/5280</f>
        <v>0</v>
      </c>
      <c r="M29" s="13"/>
    </row>
    <row r="30" spans="1:13" ht="15.75" thickBot="1" x14ac:dyDescent="0.3">
      <c r="A30" s="5" t="s">
        <v>230</v>
      </c>
      <c r="B30" s="5"/>
      <c r="C30" s="5"/>
      <c r="D30" s="6"/>
      <c r="E30" s="7"/>
      <c r="F30" s="9">
        <f>Table32[[#This Row],[FEET3]]/5280</f>
        <v>0</v>
      </c>
      <c r="G30" s="10"/>
      <c r="H30" s="11">
        <f>Table32[[#This Row],[FEET5]]/5280</f>
        <v>0</v>
      </c>
      <c r="I30" s="12"/>
      <c r="J30" s="6">
        <f>Table32[[#This Row],[FEET7]]/5280</f>
        <v>0</v>
      </c>
      <c r="K30" s="7"/>
      <c r="L30" s="13">
        <f>Table32[[#This Row],[FEET9]]/5280</f>
        <v>0</v>
      </c>
      <c r="M30" s="14"/>
    </row>
    <row r="31" spans="1:13" ht="15.75" thickBot="1" x14ac:dyDescent="0.3">
      <c r="A31" s="26"/>
      <c r="B31" s="27" t="s">
        <v>36</v>
      </c>
      <c r="C31" s="27" t="s">
        <v>65</v>
      </c>
      <c r="D31" s="28"/>
      <c r="E31" s="29"/>
      <c r="F31" s="23">
        <f>Table32[[#This Row],[FEET3]]/5280</f>
        <v>10.457954545454545</v>
      </c>
      <c r="G31" s="20">
        <v>55218</v>
      </c>
      <c r="H31" s="21">
        <f>Table32[[#This Row],[FEET5]]/5280</f>
        <v>0.75890151515151516</v>
      </c>
      <c r="I31" s="21">
        <v>4007</v>
      </c>
      <c r="J31" s="29">
        <f>Table32[[#This Row],[FEET7]]/5280</f>
        <v>5.8134469696969697</v>
      </c>
      <c r="K31" s="29">
        <v>30695</v>
      </c>
      <c r="L31" s="22">
        <f>Table32[[#This Row],[FEET9]]/5280</f>
        <v>0</v>
      </c>
      <c r="M31" s="13"/>
    </row>
    <row r="32" spans="1:13" ht="15.75" thickBot="1" x14ac:dyDescent="0.3">
      <c r="A32" s="5" t="s">
        <v>234</v>
      </c>
      <c r="B32" s="5"/>
      <c r="C32" s="5"/>
      <c r="D32" s="6"/>
      <c r="E32" s="7"/>
      <c r="F32" s="9">
        <f>Table32[[#This Row],[FEET3]]/5280</f>
        <v>0</v>
      </c>
      <c r="G32" s="10"/>
      <c r="H32" s="11">
        <f>Table32[[#This Row],[FEET5]]/5280</f>
        <v>0</v>
      </c>
      <c r="I32" s="12"/>
      <c r="J32" s="6">
        <f>Table32[[#This Row],[FEET7]]/5280</f>
        <v>0</v>
      </c>
      <c r="K32" s="7"/>
      <c r="L32" s="13">
        <f>Table32[[#This Row],[FEET9]]/5280</f>
        <v>0</v>
      </c>
      <c r="M32" s="14"/>
    </row>
    <row r="33" spans="1:13" ht="15.75" thickBot="1" x14ac:dyDescent="0.3">
      <c r="A33" s="30"/>
      <c r="B33" s="31" t="s">
        <v>10</v>
      </c>
      <c r="C33" s="31" t="s">
        <v>155</v>
      </c>
      <c r="D33" s="28"/>
      <c r="E33" s="28"/>
      <c r="F33" s="23">
        <f>Table32[[#This Row],[FEET3]]/5280</f>
        <v>0.59791666666666665</v>
      </c>
      <c r="G33" s="23">
        <v>3157</v>
      </c>
      <c r="H33" s="24">
        <f>Table32[[#This Row],[FEET5]]/5280</f>
        <v>0.23825757575757575</v>
      </c>
      <c r="I33" s="24">
        <v>1258</v>
      </c>
      <c r="J33" s="28">
        <f>Table32[[#This Row],[FEET7]]/5280</f>
        <v>0</v>
      </c>
      <c r="K33" s="28"/>
      <c r="L33" s="25">
        <f>Table32[[#This Row],[FEET9]]/5280</f>
        <v>0</v>
      </c>
      <c r="M33" s="15"/>
    </row>
    <row r="34" spans="1:13" ht="15.75" thickBot="1" x14ac:dyDescent="0.3">
      <c r="A34" s="26"/>
      <c r="B34" s="27" t="s">
        <v>156</v>
      </c>
      <c r="C34" s="27" t="s">
        <v>42</v>
      </c>
      <c r="D34" s="28"/>
      <c r="E34" s="29"/>
      <c r="F34" s="23">
        <f>Table32[[#This Row],[FEET3]]/5280</f>
        <v>5.425568181818182</v>
      </c>
      <c r="G34" s="20">
        <v>28647</v>
      </c>
      <c r="H34" s="21">
        <f>Table32[[#This Row],[FEET5]]/5280</f>
        <v>1.0208333333333333</v>
      </c>
      <c r="I34" s="21">
        <v>5390</v>
      </c>
      <c r="J34" s="29">
        <f>Table32[[#This Row],[FEET7]]/5280</f>
        <v>3.9393939393939391E-2</v>
      </c>
      <c r="K34" s="29">
        <v>208</v>
      </c>
      <c r="L34" s="22">
        <f>Table32[[#This Row],[FEET9]]/5280</f>
        <v>0</v>
      </c>
      <c r="M34" s="13"/>
    </row>
    <row r="35" spans="1:13" ht="15.75" thickBot="1" x14ac:dyDescent="0.3">
      <c r="A35" s="30"/>
      <c r="B35" s="65" t="s">
        <v>36</v>
      </c>
      <c r="C35" s="31" t="s">
        <v>46</v>
      </c>
      <c r="D35" s="28"/>
      <c r="E35" s="28"/>
      <c r="F35" s="23">
        <f>Table32[[#This Row],[FEET3]]/5280</f>
        <v>0.51893939393939392</v>
      </c>
      <c r="G35" s="23">
        <v>2740</v>
      </c>
      <c r="H35" s="24">
        <f>Table32[[#This Row],[FEET5]]/5280</f>
        <v>0.21306818181818182</v>
      </c>
      <c r="I35" s="24">
        <v>1125</v>
      </c>
      <c r="J35" s="28">
        <f>Table32[[#This Row],[FEET7]]/5280</f>
        <v>1.9390151515151515</v>
      </c>
      <c r="K35" s="28">
        <v>10238</v>
      </c>
      <c r="L35" s="25">
        <f>Table32[[#This Row],[FEET9]]/5280</f>
        <v>0</v>
      </c>
      <c r="M35" s="15"/>
    </row>
    <row r="36" spans="1:13" ht="15.75" thickBot="1" x14ac:dyDescent="0.3">
      <c r="A36" s="30"/>
      <c r="B36" s="31" t="s">
        <v>41</v>
      </c>
      <c r="C36" s="31" t="s">
        <v>108</v>
      </c>
      <c r="D36" s="28"/>
      <c r="E36" s="28"/>
      <c r="F36" s="23">
        <f>Table32[[#This Row],[FEET3]]/5280</f>
        <v>10.178030303030303</v>
      </c>
      <c r="G36" s="23">
        <f>16963+10254+20059+6464</f>
        <v>53740</v>
      </c>
      <c r="H36" s="24">
        <f>Table32[[#This Row],[FEET5]]/5280</f>
        <v>2.397348484848485</v>
      </c>
      <c r="I36" s="24">
        <f>2286+484+1764+8124</f>
        <v>12658</v>
      </c>
      <c r="J36" s="28">
        <f>Table32[[#This Row],[FEET7]]/5280</f>
        <v>0</v>
      </c>
      <c r="K36" s="28"/>
      <c r="L36" s="25">
        <f>Table32[[#This Row],[FEET9]]/5280</f>
        <v>0</v>
      </c>
      <c r="M36" s="15"/>
    </row>
    <row r="37" spans="1:13" ht="15.75" thickBot="1" x14ac:dyDescent="0.3">
      <c r="A37" s="5" t="s">
        <v>235</v>
      </c>
      <c r="B37" s="5"/>
      <c r="C37" s="5"/>
      <c r="D37" s="6"/>
      <c r="E37" s="7"/>
      <c r="F37" s="9">
        <f>Table32[[#This Row],[FEET3]]/5280</f>
        <v>0</v>
      </c>
      <c r="G37" s="10"/>
      <c r="H37" s="11">
        <f>Table32[[#This Row],[FEET5]]/5280</f>
        <v>0</v>
      </c>
      <c r="I37" s="12"/>
      <c r="J37" s="6">
        <f>Table32[[#This Row],[FEET7]]/5280</f>
        <v>0</v>
      </c>
      <c r="K37" s="7"/>
      <c r="L37" s="13">
        <f>Table32[[#This Row],[FEET9]]/5280</f>
        <v>0</v>
      </c>
      <c r="M37" s="14"/>
    </row>
    <row r="38" spans="1:13" ht="15.75" thickBot="1" x14ac:dyDescent="0.3">
      <c r="A38" s="5" t="s">
        <v>236</v>
      </c>
      <c r="B38" s="5"/>
      <c r="C38" s="5"/>
      <c r="D38" s="6"/>
      <c r="E38" s="7"/>
      <c r="F38" s="9">
        <f>Table32[[#This Row],[FEET3]]/5280</f>
        <v>0</v>
      </c>
      <c r="G38" s="10"/>
      <c r="H38" s="11">
        <f>Table32[[#This Row],[FEET5]]/5280</f>
        <v>0</v>
      </c>
      <c r="I38" s="12"/>
      <c r="J38" s="6">
        <f>Table32[[#This Row],[FEET7]]/5280</f>
        <v>0</v>
      </c>
      <c r="K38" s="7"/>
      <c r="L38" s="13">
        <f>Table32[[#This Row],[FEET9]]/5280</f>
        <v>0</v>
      </c>
      <c r="M38" s="14"/>
    </row>
    <row r="39" spans="1:13" ht="15.75" thickBot="1" x14ac:dyDescent="0.3">
      <c r="A39" s="26"/>
      <c r="B39" s="27" t="s">
        <v>69</v>
      </c>
      <c r="C39" s="27" t="s">
        <v>47</v>
      </c>
      <c r="D39" s="28"/>
      <c r="E39" s="29"/>
      <c r="F39" s="23">
        <f>Table32[[#This Row],[FEET3]]/5280</f>
        <v>3.2185606060606062</v>
      </c>
      <c r="G39" s="20">
        <v>16994</v>
      </c>
      <c r="H39" s="21">
        <f>Table32[[#This Row],[FEET5]]/5280</f>
        <v>0.68219696969696975</v>
      </c>
      <c r="I39" s="21">
        <v>3602</v>
      </c>
      <c r="J39" s="29">
        <f>Table32[[#This Row],[FEET7]]/5280</f>
        <v>0</v>
      </c>
      <c r="K39" s="29"/>
      <c r="L39" s="22">
        <f>Table32[[#This Row],[FEET9]]/5280</f>
        <v>0</v>
      </c>
      <c r="M39" s="13"/>
    </row>
    <row r="40" spans="1:13" ht="15.75" thickBot="1" x14ac:dyDescent="0.3">
      <c r="A40" s="26"/>
      <c r="B40" s="8" t="s">
        <v>40</v>
      </c>
      <c r="C40" s="31" t="s">
        <v>62</v>
      </c>
      <c r="D40" s="28"/>
      <c r="E40" s="28"/>
      <c r="F40" s="23">
        <f>Table32[[#This Row],[FEET3]]/5280</f>
        <v>1.9361742424242425</v>
      </c>
      <c r="G40" s="23">
        <v>10223</v>
      </c>
      <c r="H40" s="24">
        <f>Table32[[#This Row],[FEET5]]/5280</f>
        <v>0</v>
      </c>
      <c r="I40" s="24"/>
      <c r="J40" s="28">
        <f>Table32[[#This Row],[FEET7]]/5280</f>
        <v>0</v>
      </c>
      <c r="K40" s="28"/>
      <c r="L40" s="25">
        <f>Table32[[#This Row],[FEET9]]/5280</f>
        <v>0</v>
      </c>
      <c r="M40" s="15"/>
    </row>
    <row r="41" spans="1:13" ht="15.75" thickBot="1" x14ac:dyDescent="0.3">
      <c r="A41" s="26"/>
      <c r="B41" s="33" t="s">
        <v>5</v>
      </c>
      <c r="C41" s="27" t="s">
        <v>251</v>
      </c>
      <c r="D41" s="28"/>
      <c r="E41" s="29"/>
      <c r="F41" s="23">
        <f>Table32[[#This Row],[FEET3]]/5280</f>
        <v>4.6789772727272725</v>
      </c>
      <c r="G41" s="20">
        <f>14338+10367</f>
        <v>24705</v>
      </c>
      <c r="H41" s="21">
        <f>Table32[[#This Row],[FEET5]]/5280</f>
        <v>0.49053030303030304</v>
      </c>
      <c r="I41" s="21">
        <f>2052+538</f>
        <v>2590</v>
      </c>
      <c r="J41" s="29">
        <f>Table32[[#This Row],[FEET7]]/5280</f>
        <v>1.1984848484848485</v>
      </c>
      <c r="K41" s="29">
        <f>3944+2384</f>
        <v>6328</v>
      </c>
      <c r="L41" s="22">
        <f>Table32[[#This Row],[FEET9]]/5280</f>
        <v>0</v>
      </c>
      <c r="M41" s="13"/>
    </row>
    <row r="42" spans="1:13" ht="15.75" thickBot="1" x14ac:dyDescent="0.3">
      <c r="A42" s="26"/>
      <c r="B42" s="31" t="s">
        <v>38</v>
      </c>
      <c r="C42" s="31" t="s">
        <v>39</v>
      </c>
      <c r="D42" s="28"/>
      <c r="E42" s="28"/>
      <c r="F42" s="23">
        <f>Table32[[#This Row],[FEET3]]/5280</f>
        <v>6.2882575757575756</v>
      </c>
      <c r="G42" s="23">
        <v>33202</v>
      </c>
      <c r="H42" s="24">
        <f>Table32[[#This Row],[FEET5]]/5280</f>
        <v>0.49090909090909091</v>
      </c>
      <c r="I42" s="24">
        <v>2592</v>
      </c>
      <c r="J42" s="28">
        <f>Table32[[#This Row],[FEET7]]/5280</f>
        <v>0</v>
      </c>
      <c r="K42" s="28"/>
      <c r="L42" s="25">
        <f>Table32[[#This Row],[FEET9]]/5280</f>
        <v>0</v>
      </c>
      <c r="M42" s="15"/>
    </row>
    <row r="43" spans="1:13" ht="15.75" thickBot="1" x14ac:dyDescent="0.3">
      <c r="A43" s="26"/>
      <c r="B43" s="31" t="s">
        <v>167</v>
      </c>
      <c r="C43" s="31" t="s">
        <v>168</v>
      </c>
      <c r="D43" s="28"/>
      <c r="E43" s="28"/>
      <c r="F43" s="23">
        <f>Table32[[#This Row],[FEET3]]/5280</f>
        <v>14.873734848484849</v>
      </c>
      <c r="G43" s="23">
        <v>78533.320000000007</v>
      </c>
      <c r="H43" s="24">
        <f>Table32[[#This Row],[FEET5]]/5280</f>
        <v>0.61677272727272725</v>
      </c>
      <c r="I43" s="24">
        <v>3256.56</v>
      </c>
      <c r="J43" s="28">
        <f>Table32[[#This Row],[FEET7]]/5280</f>
        <v>12.75441287878788</v>
      </c>
      <c r="K43" s="28">
        <v>67343.3</v>
      </c>
      <c r="L43" s="25">
        <f>Table32[[#This Row],[FEET9]]/5280</f>
        <v>0</v>
      </c>
      <c r="M43" s="15"/>
    </row>
    <row r="44" spans="1:13" ht="15.75" thickBot="1" x14ac:dyDescent="0.3">
      <c r="A44" s="26"/>
      <c r="B44" s="31" t="s">
        <v>48</v>
      </c>
      <c r="C44" s="31" t="s">
        <v>89</v>
      </c>
      <c r="D44" s="28"/>
      <c r="E44" s="28"/>
      <c r="F44" s="23">
        <f>Table32[[#This Row],[FEET3]]/5280</f>
        <v>3.4844696969696969</v>
      </c>
      <c r="G44" s="23">
        <v>18398</v>
      </c>
      <c r="H44" s="24">
        <f>Table32[[#This Row],[FEET5]]/5280</f>
        <v>0.23636363636363636</v>
      </c>
      <c r="I44" s="24">
        <v>1248</v>
      </c>
      <c r="J44" s="28">
        <f>Table32[[#This Row],[FEET7]]/5280</f>
        <v>0</v>
      </c>
      <c r="K44" s="28"/>
      <c r="L44" s="25">
        <f>Table32[[#This Row],[FEET9]]/5280</f>
        <v>0</v>
      </c>
      <c r="M44" s="15"/>
    </row>
    <row r="45" spans="1:13" ht="15.75" thickBot="1" x14ac:dyDescent="0.3">
      <c r="A45" s="26"/>
      <c r="B45" s="27" t="s">
        <v>48</v>
      </c>
      <c r="C45" s="27" t="s">
        <v>169</v>
      </c>
      <c r="D45" s="28"/>
      <c r="E45" s="29"/>
      <c r="F45" s="23">
        <f>Table32[[#This Row],[FEET3]]/5280</f>
        <v>0.88901515151515154</v>
      </c>
      <c r="G45" s="20">
        <v>4694</v>
      </c>
      <c r="H45" s="21">
        <f>Table32[[#This Row],[FEET5]]/5280</f>
        <v>0.31704545454545452</v>
      </c>
      <c r="I45" s="21">
        <v>1674</v>
      </c>
      <c r="J45" s="29">
        <f>Table32[[#This Row],[FEET7]]/5280</f>
        <v>3.1893939393939394</v>
      </c>
      <c r="K45" s="29">
        <v>16840</v>
      </c>
      <c r="L45" s="22">
        <f>Table32[[#This Row],[FEET9]]/5280</f>
        <v>0</v>
      </c>
      <c r="M45" s="13"/>
    </row>
    <row r="46" spans="1:13" ht="15.75" thickBot="1" x14ac:dyDescent="0.3">
      <c r="A46" s="5" t="s">
        <v>237</v>
      </c>
      <c r="B46" s="5"/>
      <c r="C46" s="5"/>
      <c r="D46" s="6"/>
      <c r="E46" s="7"/>
      <c r="F46" s="9">
        <f>Table32[[#This Row],[FEET3]]/5280</f>
        <v>0</v>
      </c>
      <c r="G46" s="10"/>
      <c r="H46" s="11">
        <f>Table32[[#This Row],[FEET5]]/5280</f>
        <v>0</v>
      </c>
      <c r="I46" s="12"/>
      <c r="J46" s="6">
        <f>Table32[[#This Row],[FEET7]]/5280</f>
        <v>0</v>
      </c>
      <c r="K46" s="7"/>
      <c r="L46" s="13">
        <f>Table32[[#This Row],[FEET9]]/5280</f>
        <v>0</v>
      </c>
      <c r="M46" s="14"/>
    </row>
    <row r="47" spans="1:13" ht="15.75" thickBot="1" x14ac:dyDescent="0.3">
      <c r="A47" s="26"/>
      <c r="B47" s="27" t="s">
        <v>199</v>
      </c>
      <c r="C47" s="27" t="s">
        <v>114</v>
      </c>
      <c r="D47" s="28"/>
      <c r="E47" s="29"/>
      <c r="F47" s="23">
        <f>Table32[[#This Row],[FEET3]]/5280</f>
        <v>1.0291666666666666</v>
      </c>
      <c r="G47" s="20">
        <f>2717*2</f>
        <v>5434</v>
      </c>
      <c r="H47" s="21">
        <f>Table32[[#This Row],[FEET5]]/5280</f>
        <v>0</v>
      </c>
      <c r="I47" s="21"/>
      <c r="J47" s="29">
        <f>Table32[[#This Row],[FEET7]]/5280</f>
        <v>3.0303030303030304E-2</v>
      </c>
      <c r="K47" s="29">
        <v>160</v>
      </c>
      <c r="L47" s="22">
        <f>Table32[[#This Row],[FEET9]]/5280</f>
        <v>0</v>
      </c>
      <c r="M47" s="13"/>
    </row>
    <row r="48" spans="1:13" ht="15.75" thickBot="1" x14ac:dyDescent="0.3">
      <c r="A48" s="5" t="s">
        <v>238</v>
      </c>
      <c r="B48" s="5"/>
      <c r="C48" s="5"/>
      <c r="D48" s="6"/>
      <c r="E48" s="7"/>
      <c r="F48" s="9">
        <f>Table32[[#This Row],[FEET3]]/5280</f>
        <v>0</v>
      </c>
      <c r="G48" s="10"/>
      <c r="H48" s="11">
        <f>Table32[[#This Row],[FEET5]]/5280</f>
        <v>0</v>
      </c>
      <c r="I48" s="12"/>
      <c r="J48" s="6">
        <f>Table32[[#This Row],[FEET7]]/5280</f>
        <v>0</v>
      </c>
      <c r="K48" s="7"/>
      <c r="L48" s="13">
        <f>Table32[[#This Row],[FEET9]]/5280</f>
        <v>0</v>
      </c>
      <c r="M48" s="14"/>
    </row>
    <row r="49" spans="1:13" ht="15.75" thickBot="1" x14ac:dyDescent="0.3">
      <c r="A49" s="26"/>
      <c r="B49" s="31" t="s">
        <v>48</v>
      </c>
      <c r="C49" s="31" t="s">
        <v>176</v>
      </c>
      <c r="D49" s="28"/>
      <c r="E49" s="28"/>
      <c r="F49" s="23">
        <f>Table32[[#This Row],[FEET3]]/5280</f>
        <v>2.3280303030303031</v>
      </c>
      <c r="G49" s="23">
        <v>12292</v>
      </c>
      <c r="H49" s="24">
        <f>Table32[[#This Row],[FEET5]]/5280</f>
        <v>0</v>
      </c>
      <c r="I49" s="24"/>
      <c r="J49" s="28">
        <f>Table32[[#This Row],[FEET7]]/5280</f>
        <v>0</v>
      </c>
      <c r="K49" s="28"/>
      <c r="L49" s="25">
        <f>Table32[[#This Row],[FEET9]]/5280</f>
        <v>0</v>
      </c>
      <c r="M49" s="15"/>
    </row>
    <row r="50" spans="1:13" ht="15.75" thickBot="1" x14ac:dyDescent="0.3">
      <c r="A50" s="5" t="s">
        <v>239</v>
      </c>
      <c r="B50" s="5"/>
      <c r="C50" s="5"/>
      <c r="D50" s="6"/>
      <c r="E50" s="7"/>
      <c r="F50" s="9">
        <f>Table32[[#This Row],[FEET3]]/5280</f>
        <v>0</v>
      </c>
      <c r="G50" s="10"/>
      <c r="H50" s="11">
        <f>Table32[[#This Row],[FEET5]]/5280</f>
        <v>0</v>
      </c>
      <c r="I50" s="12"/>
      <c r="J50" s="6">
        <f>Table32[[#This Row],[FEET7]]/5280</f>
        <v>0</v>
      </c>
      <c r="K50" s="7"/>
      <c r="L50" s="13">
        <f>Table32[[#This Row],[FEET9]]/5280</f>
        <v>0</v>
      </c>
      <c r="M50" s="14"/>
    </row>
    <row r="51" spans="1:13" ht="15.75" thickBot="1" x14ac:dyDescent="0.3">
      <c r="A51" s="30"/>
      <c r="B51" s="31" t="s">
        <v>36</v>
      </c>
      <c r="C51" s="31" t="s">
        <v>85</v>
      </c>
      <c r="D51" s="28"/>
      <c r="E51" s="28"/>
      <c r="F51" s="23">
        <f>Table32[[#This Row],[FEET3]]/5280</f>
        <v>1.0905303030303031</v>
      </c>
      <c r="G51" s="23">
        <v>5758</v>
      </c>
      <c r="H51" s="24">
        <f>Table32[[#This Row],[FEET5]]/5280</f>
        <v>0.25909090909090909</v>
      </c>
      <c r="I51" s="24">
        <v>1368</v>
      </c>
      <c r="J51" s="28">
        <f>Table32[[#This Row],[FEET7]]/5280</f>
        <v>2.8373106060606061</v>
      </c>
      <c r="K51" s="28">
        <v>14981</v>
      </c>
      <c r="L51" s="25">
        <f>Table32[[#This Row],[FEET9]]/5280</f>
        <v>0</v>
      </c>
      <c r="M51" s="15"/>
    </row>
    <row r="52" spans="1:13" ht="15.75" thickBot="1" x14ac:dyDescent="0.3">
      <c r="A52" s="5" t="s">
        <v>240</v>
      </c>
      <c r="B52" s="5"/>
      <c r="C52" s="5"/>
      <c r="D52" s="6"/>
      <c r="E52" s="7"/>
      <c r="F52" s="9">
        <f>Table32[[#This Row],[FEET3]]/5280</f>
        <v>0</v>
      </c>
      <c r="G52" s="10"/>
      <c r="H52" s="11">
        <f>Table32[[#This Row],[FEET5]]/5280</f>
        <v>0</v>
      </c>
      <c r="I52" s="12"/>
      <c r="J52" s="6">
        <f>Table32[[#This Row],[FEET7]]/5280</f>
        <v>0</v>
      </c>
      <c r="K52" s="7"/>
      <c r="L52" s="13">
        <f>Table32[[#This Row],[FEET9]]/5280</f>
        <v>0</v>
      </c>
      <c r="M52" s="14"/>
    </row>
    <row r="53" spans="1:13" ht="15.75" thickBot="1" x14ac:dyDescent="0.3">
      <c r="A53" s="34"/>
      <c r="B53" s="27" t="s">
        <v>16</v>
      </c>
      <c r="C53" s="27" t="s">
        <v>182</v>
      </c>
      <c r="D53" s="28"/>
      <c r="E53" s="29"/>
      <c r="F53" s="23">
        <f>Table32[[#This Row],[FEET3]]/5280</f>
        <v>0.62821969696969693</v>
      </c>
      <c r="G53" s="20">
        <v>3317</v>
      </c>
      <c r="H53" s="21">
        <f>Table32[[#This Row],[FEET5]]/5280</f>
        <v>0.44318181818181818</v>
      </c>
      <c r="I53" s="21">
        <v>2340</v>
      </c>
      <c r="J53" s="29">
        <f>Table32[[#This Row],[FEET7]]/5280</f>
        <v>0</v>
      </c>
      <c r="K53" s="29"/>
      <c r="L53" s="22">
        <f>Table32[[#This Row],[FEET9]]/5280</f>
        <v>0</v>
      </c>
      <c r="M53" s="13"/>
    </row>
    <row r="54" spans="1:13" ht="15.75" thickBot="1" x14ac:dyDescent="0.3">
      <c r="A54" s="5" t="s">
        <v>241</v>
      </c>
      <c r="B54" s="5"/>
      <c r="C54" s="5"/>
      <c r="D54" s="6"/>
      <c r="E54" s="7"/>
      <c r="F54" s="9">
        <f>Table32[[#This Row],[FEET3]]/5280</f>
        <v>0</v>
      </c>
      <c r="G54" s="10"/>
      <c r="H54" s="11">
        <f>Table32[[#This Row],[FEET5]]/5280</f>
        <v>0</v>
      </c>
      <c r="I54" s="12"/>
      <c r="J54" s="6">
        <f>Table32[[#This Row],[FEET7]]/5280</f>
        <v>0</v>
      </c>
      <c r="K54" s="7"/>
      <c r="L54" s="13">
        <f>Table32[[#This Row],[FEET9]]/5280</f>
        <v>0</v>
      </c>
      <c r="M54" s="14"/>
    </row>
    <row r="55" spans="1:13" ht="15.75" thickBot="1" x14ac:dyDescent="0.3">
      <c r="A55" s="5" t="s">
        <v>242</v>
      </c>
      <c r="B55" s="5"/>
      <c r="C55" s="5"/>
      <c r="D55" s="6"/>
      <c r="E55" s="7"/>
      <c r="F55" s="9">
        <f>Table32[[#This Row],[FEET3]]/5280</f>
        <v>0</v>
      </c>
      <c r="G55" s="10"/>
      <c r="H55" s="11">
        <f>Table32[[#This Row],[FEET5]]/5280</f>
        <v>0</v>
      </c>
      <c r="I55" s="12"/>
      <c r="J55" s="6">
        <f>Table32[[#This Row],[FEET7]]/5280</f>
        <v>0</v>
      </c>
      <c r="K55" s="7"/>
      <c r="L55" s="13">
        <f>Table32[[#This Row],[FEET9]]/5280</f>
        <v>0</v>
      </c>
      <c r="M55" s="14"/>
    </row>
    <row r="56" spans="1:13" ht="15.75" thickBot="1" x14ac:dyDescent="0.3">
      <c r="A56" s="30"/>
      <c r="B56" s="31" t="s">
        <v>25</v>
      </c>
      <c r="C56" s="31" t="s">
        <v>61</v>
      </c>
      <c r="D56" s="28"/>
      <c r="E56" s="28"/>
      <c r="F56" s="23">
        <f>Table32[[#This Row],[FEET3]]/5280</f>
        <v>4.4587121212121215</v>
      </c>
      <c r="G56" s="23">
        <v>23542</v>
      </c>
      <c r="H56" s="24">
        <f>Table32[[#This Row],[FEET5]]/5280</f>
        <v>0.12613636363636363</v>
      </c>
      <c r="I56" s="24">
        <v>666</v>
      </c>
      <c r="J56" s="28">
        <f>Table32[[#This Row],[FEET7]]/5280</f>
        <v>5.2515151515151519</v>
      </c>
      <c r="K56" s="28">
        <v>27728</v>
      </c>
      <c r="L56" s="25">
        <f>Table32[[#This Row],[FEET9]]/5280</f>
        <v>0</v>
      </c>
      <c r="M56" s="15"/>
    </row>
    <row r="57" spans="1:13" ht="15.75" thickBot="1" x14ac:dyDescent="0.3">
      <c r="A57" s="30"/>
      <c r="B57" s="27" t="s">
        <v>28</v>
      </c>
      <c r="C57" s="27" t="s">
        <v>33</v>
      </c>
      <c r="D57" s="28"/>
      <c r="E57" s="29"/>
      <c r="F57" s="23">
        <f>Table32[[#This Row],[FEET3]]/5280</f>
        <v>3.3212121212121213</v>
      </c>
      <c r="G57" s="20">
        <v>17536</v>
      </c>
      <c r="H57" s="21">
        <f>Table32[[#This Row],[FEET5]]/5280</f>
        <v>0.2037878787878788</v>
      </c>
      <c r="I57" s="21">
        <v>1076</v>
      </c>
      <c r="J57" s="29">
        <f>Table32[[#This Row],[FEET7]]/5280</f>
        <v>6.1731060606060604</v>
      </c>
      <c r="K57" s="29">
        <v>32594</v>
      </c>
      <c r="L57" s="22">
        <f>Table32[[#This Row],[FEET9]]/5280</f>
        <v>0.19109848484848485</v>
      </c>
      <c r="M57" s="13">
        <v>1009</v>
      </c>
    </row>
    <row r="58" spans="1:13" ht="15.75" thickBot="1" x14ac:dyDescent="0.3">
      <c r="A58" s="5" t="s">
        <v>243</v>
      </c>
      <c r="B58" s="5"/>
      <c r="C58" s="5"/>
      <c r="D58" s="6"/>
      <c r="E58" s="7"/>
      <c r="F58" s="9">
        <f>Table32[[#This Row],[FEET3]]/5280</f>
        <v>0</v>
      </c>
      <c r="G58" s="10"/>
      <c r="H58" s="11">
        <f>Table32[[#This Row],[FEET5]]/5280</f>
        <v>0</v>
      </c>
      <c r="I58" s="12"/>
      <c r="J58" s="6">
        <f>Table32[[#This Row],[FEET7]]/5280</f>
        <v>0</v>
      </c>
      <c r="K58" s="7"/>
      <c r="L58" s="13">
        <f>Table32[[#This Row],[FEET9]]/5280</f>
        <v>0</v>
      </c>
      <c r="M58" s="14"/>
    </row>
    <row r="59" spans="1:13" ht="15.75" thickBot="1" x14ac:dyDescent="0.3">
      <c r="A59" s="26"/>
      <c r="B59" s="27" t="s">
        <v>102</v>
      </c>
      <c r="C59" s="27" t="s">
        <v>194</v>
      </c>
      <c r="D59" s="28"/>
      <c r="E59" s="29"/>
      <c r="F59" s="23">
        <f>Table32[[#This Row],[FEET3]]/5280</f>
        <v>1.9806818181818182</v>
      </c>
      <c r="G59" s="20">
        <f>5229+5229</f>
        <v>10458</v>
      </c>
      <c r="H59" s="21">
        <f>Table32[[#This Row],[FEET5]]/5280</f>
        <v>0</v>
      </c>
      <c r="I59" s="21"/>
      <c r="J59" s="29">
        <f>Table32[[#This Row],[FEET7]]/5280</f>
        <v>0</v>
      </c>
      <c r="K59" s="29"/>
      <c r="L59" s="22">
        <f>Table32[[#This Row],[FEET9]]/5280</f>
        <v>0</v>
      </c>
      <c r="M59" s="13"/>
    </row>
    <row r="60" spans="1:13" ht="15.75" thickBot="1" x14ac:dyDescent="0.3">
      <c r="A60" s="26"/>
      <c r="B60" s="31" t="s">
        <v>25</v>
      </c>
      <c r="C60" s="31" t="s">
        <v>233</v>
      </c>
      <c r="D60" s="28"/>
      <c r="E60" s="28"/>
      <c r="F60" s="23">
        <f>Table32[[#This Row],[FEET3]]/5280</f>
        <v>9.1410984848484844</v>
      </c>
      <c r="G60" s="23">
        <v>48265</v>
      </c>
      <c r="H60" s="24">
        <f>Table32[[#This Row],[FEET5]]/5280</f>
        <v>0.37670454545454546</v>
      </c>
      <c r="I60" s="24">
        <v>1989</v>
      </c>
      <c r="J60" s="28">
        <f>Table32[[#This Row],[FEET7]]/5280</f>
        <v>0</v>
      </c>
      <c r="K60" s="28"/>
      <c r="L60" s="25">
        <f>Table32[[#This Row],[FEET9]]/5280</f>
        <v>0</v>
      </c>
      <c r="M60" s="15"/>
    </row>
    <row r="61" spans="1:13" ht="15.75" thickBot="1" x14ac:dyDescent="0.3">
      <c r="A61" s="26"/>
      <c r="B61" s="31" t="s">
        <v>124</v>
      </c>
      <c r="C61" s="31" t="s">
        <v>219</v>
      </c>
      <c r="D61" s="28"/>
      <c r="E61" s="28"/>
      <c r="F61" s="23">
        <f>Table32[[#This Row],[FEET3]]/5280</f>
        <v>5.0030303030303029</v>
      </c>
      <c r="G61" s="23">
        <f>12777+12777+431+431</f>
        <v>26416</v>
      </c>
      <c r="H61" s="24">
        <f>Table32[[#This Row],[FEET5]]/5280</f>
        <v>0.28484848484848485</v>
      </c>
      <c r="I61" s="24">
        <v>1504</v>
      </c>
      <c r="J61" s="28">
        <f>Table32[[#This Row],[FEET7]]/5280</f>
        <v>0</v>
      </c>
      <c r="K61" s="28"/>
      <c r="L61" s="25">
        <f>Table32[[#This Row],[FEET9]]/5280</f>
        <v>0</v>
      </c>
      <c r="M61" s="15"/>
    </row>
    <row r="62" spans="1:13" ht="15.75" thickBot="1" x14ac:dyDescent="0.3">
      <c r="A62" s="26"/>
      <c r="B62" s="31" t="s">
        <v>30</v>
      </c>
      <c r="C62" s="31" t="s">
        <v>220</v>
      </c>
      <c r="D62" s="28"/>
      <c r="E62" s="28"/>
      <c r="F62" s="23">
        <f>Table32[[#This Row],[FEET3]]/5280</f>
        <v>2.822159090909091</v>
      </c>
      <c r="G62" s="23">
        <v>14901</v>
      </c>
      <c r="H62" s="24">
        <f>Table32[[#This Row],[FEET5]]/5280</f>
        <v>0.57272727272727275</v>
      </c>
      <c r="I62" s="24">
        <v>3024</v>
      </c>
      <c r="J62" s="28">
        <f>Table32[[#This Row],[FEET7]]/5280</f>
        <v>0</v>
      </c>
      <c r="K62" s="28"/>
      <c r="L62" s="25">
        <f>Table32[[#This Row],[FEET9]]/5280</f>
        <v>0</v>
      </c>
      <c r="M62" s="15"/>
    </row>
    <row r="63" spans="1:13" ht="15.75" thickBot="1" x14ac:dyDescent="0.3">
      <c r="A63" s="26"/>
      <c r="B63" s="27" t="s">
        <v>35</v>
      </c>
      <c r="C63" s="27" t="s">
        <v>196</v>
      </c>
      <c r="D63" s="28"/>
      <c r="E63" s="29"/>
      <c r="F63" s="23">
        <f>Table32[[#This Row],[FEET3]]/5280</f>
        <v>1.8484848484848484</v>
      </c>
      <c r="G63" s="20">
        <v>9760</v>
      </c>
      <c r="H63" s="21">
        <f>Table32[[#This Row],[FEET5]]/5280</f>
        <v>0.49678030303030302</v>
      </c>
      <c r="I63" s="21">
        <v>2623</v>
      </c>
      <c r="J63" s="29">
        <f>Table32[[#This Row],[FEET7]]/5280</f>
        <v>4.6212121212121211E-2</v>
      </c>
      <c r="K63" s="29">
        <v>244</v>
      </c>
      <c r="L63" s="22">
        <f>Table32[[#This Row],[FEET9]]/5280</f>
        <v>0</v>
      </c>
      <c r="M63" s="13"/>
    </row>
    <row r="64" spans="1:13" ht="15.75" thickBot="1" x14ac:dyDescent="0.3">
      <c r="A64" s="26"/>
      <c r="B64" s="31" t="s">
        <v>49</v>
      </c>
      <c r="C64" s="31" t="s">
        <v>197</v>
      </c>
      <c r="D64" s="28"/>
      <c r="E64" s="28"/>
      <c r="F64" s="23">
        <f>Table32[[#This Row],[FEET3]]/5280</f>
        <v>4.9626893939393941</v>
      </c>
      <c r="G64" s="23">
        <f>1769+1769+349+1297+610+1123+322+322+568+350+287+287+3625+3625+4950+4950</f>
        <v>26203</v>
      </c>
      <c r="H64" s="24">
        <f>Table32[[#This Row],[FEET5]]/5280</f>
        <v>1.4888257575757575</v>
      </c>
      <c r="I64" s="24">
        <f>478+1297+583+1123+2253+568+495+365+349+350</f>
        <v>7861</v>
      </c>
      <c r="J64" s="28">
        <f>Table32[[#This Row],[FEET7]]/5280</f>
        <v>1.53125</v>
      </c>
      <c r="K64" s="28">
        <f>2597+1024+1024+1720+1720</f>
        <v>8085</v>
      </c>
      <c r="L64" s="25">
        <f>Table32[[#This Row],[FEET9]]/5280</f>
        <v>0</v>
      </c>
      <c r="M64" s="15"/>
    </row>
    <row r="65" spans="1:13" ht="15.75" thickBot="1" x14ac:dyDescent="0.3">
      <c r="A65" s="26"/>
      <c r="B65" s="27" t="s">
        <v>26</v>
      </c>
      <c r="C65" s="27" t="s">
        <v>198</v>
      </c>
      <c r="D65" s="28"/>
      <c r="E65" s="29"/>
      <c r="F65" s="23">
        <f>Table32[[#This Row],[FEET3]]/5280</f>
        <v>1.1549242424242425</v>
      </c>
      <c r="G65" s="20">
        <f>2543+2543+485+527</f>
        <v>6098</v>
      </c>
      <c r="H65" s="21">
        <f>Table32[[#This Row],[FEET5]]/5280</f>
        <v>0</v>
      </c>
      <c r="I65" s="21"/>
      <c r="J65" s="29">
        <f>Table32[[#This Row],[FEET7]]/5280</f>
        <v>0</v>
      </c>
      <c r="K65" s="29"/>
      <c r="L65" s="22">
        <f>Table32[[#This Row],[FEET9]]/5280</f>
        <v>0</v>
      </c>
      <c r="M65" s="13"/>
    </row>
    <row r="66" spans="1:13" ht="16.5" thickBot="1" x14ac:dyDescent="0.3">
      <c r="A66" s="40" t="s">
        <v>266</v>
      </c>
      <c r="B66" s="41"/>
      <c r="C66" s="41"/>
      <c r="D66" s="41"/>
      <c r="E66" s="42"/>
      <c r="F66" s="39">
        <f>SUM(F6:F65)</f>
        <v>150.35081818181814</v>
      </c>
      <c r="G66" s="37">
        <f>SUM(G6:G65)</f>
        <v>793852.32000000007</v>
      </c>
      <c r="H66" s="37">
        <f>SUM(H6:H65)</f>
        <v>21.277244318181815</v>
      </c>
      <c r="I66" s="37">
        <f>SUM(I6:I65)</f>
        <v>112343.85</v>
      </c>
      <c r="J66" s="37">
        <f>SUM(J6:J65)</f>
        <v>65.734706439393946</v>
      </c>
      <c r="K66" s="37">
        <f>SUM(K6:K65)</f>
        <v>347079.25</v>
      </c>
      <c r="L66" s="37">
        <f>SUM(L6:L65)</f>
        <v>0.19109848484848485</v>
      </c>
      <c r="M66" s="38">
        <f>SUM(M6:M65)</f>
        <v>1009</v>
      </c>
    </row>
  </sheetData>
  <mergeCells count="9">
    <mergeCell ref="A66:E66"/>
    <mergeCell ref="J1:K3"/>
    <mergeCell ref="L1:M3"/>
    <mergeCell ref="A1:A3"/>
    <mergeCell ref="B1:B3"/>
    <mergeCell ref="C1:C3"/>
    <mergeCell ref="D1:E3"/>
    <mergeCell ref="F1:G3"/>
    <mergeCell ref="H1:I3"/>
  </mergeCells>
  <pageMargins left="0.7" right="0.7" top="0.75" bottom="0.75" header="0.3" footer="0.3"/>
  <pageSetup paperSize="258" scale="41" orientation="portrait" r:id="rId1"/>
  <headerFooter>
    <oddHeader>&amp;C&amp;"-,Bold"&amp;12 2026 Pavement Markings Program&amp;R&amp;"-,Bold"&amp;12Striping: Part 2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4589-11C1-4EE4-ADAF-DA12F42FE29D}">
  <dimension ref="A1:O189"/>
  <sheetViews>
    <sheetView view="pageLayout" zoomScaleNormal="115" workbookViewId="0">
      <selection activeCell="B189" sqref="B189"/>
    </sheetView>
  </sheetViews>
  <sheetFormatPr defaultRowHeight="15" x14ac:dyDescent="0.25"/>
  <cols>
    <col min="1" max="1" width="18" bestFit="1" customWidth="1"/>
    <col min="2" max="2" width="32.28515625" bestFit="1" customWidth="1"/>
    <col min="3" max="3" width="60.5703125" bestFit="1" customWidth="1"/>
    <col min="4" max="4" width="8.42578125" hidden="1" customWidth="1"/>
    <col min="5" max="5" width="10.5703125" hidden="1" customWidth="1"/>
    <col min="6" max="6" width="9.42578125" customWidth="1"/>
    <col min="7" max="7" width="14" bestFit="1" customWidth="1"/>
    <col min="8" max="8" width="9.42578125" customWidth="1"/>
    <col min="9" max="9" width="12.28515625" bestFit="1" customWidth="1"/>
    <col min="10" max="10" width="9.42578125" customWidth="1"/>
    <col min="11" max="11" width="14" bestFit="1" customWidth="1"/>
    <col min="12" max="12" width="9.42578125" customWidth="1"/>
    <col min="13" max="13" width="14" customWidth="1"/>
    <col min="15" max="15" width="14" bestFit="1" customWidth="1"/>
  </cols>
  <sheetData>
    <row r="1" spans="1:13" ht="15.75" customHeight="1" thickTop="1" x14ac:dyDescent="0.25">
      <c r="A1" s="51" t="s">
        <v>54</v>
      </c>
      <c r="B1" s="53" t="s">
        <v>0</v>
      </c>
      <c r="C1" s="53" t="s">
        <v>51</v>
      </c>
      <c r="D1" s="43" t="s">
        <v>1</v>
      </c>
      <c r="E1" s="44"/>
      <c r="F1" s="55" t="s">
        <v>2</v>
      </c>
      <c r="G1" s="56"/>
      <c r="H1" s="59" t="s">
        <v>90</v>
      </c>
      <c r="I1" s="60"/>
      <c r="J1" s="43" t="s">
        <v>3</v>
      </c>
      <c r="K1" s="44"/>
      <c r="L1" s="47" t="s">
        <v>4</v>
      </c>
      <c r="M1" s="48"/>
    </row>
    <row r="2" spans="1:13" x14ac:dyDescent="0.25">
      <c r="A2" s="52"/>
      <c r="B2" s="54"/>
      <c r="C2" s="54"/>
      <c r="D2" s="45"/>
      <c r="E2" s="46"/>
      <c r="F2" s="57"/>
      <c r="G2" s="58"/>
      <c r="H2" s="61"/>
      <c r="I2" s="62"/>
      <c r="J2" s="45"/>
      <c r="K2" s="46"/>
      <c r="L2" s="49"/>
      <c r="M2" s="50"/>
    </row>
    <row r="3" spans="1:13" x14ac:dyDescent="0.25">
      <c r="A3" s="52"/>
      <c r="B3" s="54"/>
      <c r="C3" s="54"/>
      <c r="D3" s="45"/>
      <c r="E3" s="46"/>
      <c r="F3" s="57"/>
      <c r="G3" s="58"/>
      <c r="H3" s="61"/>
      <c r="I3" s="62"/>
      <c r="J3" s="45"/>
      <c r="K3" s="46"/>
      <c r="L3" s="49"/>
      <c r="M3" s="50"/>
    </row>
    <row r="4" spans="1:13" ht="15.75" thickBot="1" x14ac:dyDescent="0.3">
      <c r="A4" s="2" t="s">
        <v>55</v>
      </c>
      <c r="B4" s="4" t="s">
        <v>50</v>
      </c>
      <c r="C4" s="4" t="s">
        <v>51</v>
      </c>
      <c r="D4" s="4" t="s">
        <v>52</v>
      </c>
      <c r="E4" s="4" t="s">
        <v>53</v>
      </c>
      <c r="F4" s="17" t="s">
        <v>76</v>
      </c>
      <c r="G4" s="17" t="s">
        <v>77</v>
      </c>
      <c r="H4" s="18" t="s">
        <v>78</v>
      </c>
      <c r="I4" s="18" t="s">
        <v>79</v>
      </c>
      <c r="J4" s="4" t="s">
        <v>80</v>
      </c>
      <c r="K4" s="4" t="s">
        <v>81</v>
      </c>
      <c r="L4" s="19" t="s">
        <v>82</v>
      </c>
      <c r="M4" s="3" t="s">
        <v>83</v>
      </c>
    </row>
    <row r="5" spans="1:13" ht="15.75" thickBot="1" x14ac:dyDescent="0.3">
      <c r="A5" s="5" t="s">
        <v>200</v>
      </c>
      <c r="B5" s="5"/>
      <c r="C5" s="5"/>
      <c r="D5" s="6"/>
      <c r="E5" s="7"/>
      <c r="F5" s="9">
        <f>Table378[[#This Row],[FEET3]]/5280</f>
        <v>0</v>
      </c>
      <c r="G5" s="10"/>
      <c r="H5" s="11">
        <f>Table378[[#This Row],[FEET5]]/5280</f>
        <v>0</v>
      </c>
      <c r="I5" s="12"/>
      <c r="J5" s="6">
        <f>Table378[[#This Row],[FEET7]]/5280</f>
        <v>0</v>
      </c>
      <c r="K5" s="7"/>
      <c r="L5" s="13">
        <f>Table378[[#This Row],[FEET9]]/5280</f>
        <v>0</v>
      </c>
      <c r="M5" s="14"/>
    </row>
    <row r="6" spans="1:13" ht="15.75" thickBot="1" x14ac:dyDescent="0.3">
      <c r="A6" s="26"/>
      <c r="B6" s="27" t="s">
        <v>75</v>
      </c>
      <c r="C6" s="27" t="s">
        <v>204</v>
      </c>
      <c r="D6" s="28"/>
      <c r="E6" s="29"/>
      <c r="F6" s="23">
        <f>Table378[[#This Row],[FEET3]]/5280</f>
        <v>2.1272727272727274</v>
      </c>
      <c r="G6" s="20">
        <v>11232</v>
      </c>
      <c r="H6" s="21">
        <f>Table378[[#This Row],[FEET5]]/5280</f>
        <v>0.56818181818181823</v>
      </c>
      <c r="I6" s="21">
        <v>3000</v>
      </c>
      <c r="J6" s="29">
        <f>Table378[[#This Row],[FEET7]]/5280</f>
        <v>5.3142045454545457</v>
      </c>
      <c r="K6" s="29">
        <v>28059</v>
      </c>
      <c r="L6" s="22">
        <f>Table378[[#This Row],[FEET9]]/5280</f>
        <v>0</v>
      </c>
      <c r="M6" s="13"/>
    </row>
    <row r="7" spans="1:13" ht="15.75" thickBot="1" x14ac:dyDescent="0.3">
      <c r="A7" s="30"/>
      <c r="B7" s="8" t="s">
        <v>6</v>
      </c>
      <c r="C7" s="31" t="s">
        <v>115</v>
      </c>
      <c r="D7" s="28"/>
      <c r="E7" s="28"/>
      <c r="F7" s="23">
        <f>Table378[[#This Row],[FEET3]]/5280</f>
        <v>1.8643939393939395</v>
      </c>
      <c r="G7" s="23">
        <f>5000+(1999*2)+606+240</f>
        <v>9844</v>
      </c>
      <c r="H7" s="24">
        <f>Table378[[#This Row],[FEET5]]/5280</f>
        <v>0.59412878787878787</v>
      </c>
      <c r="I7" s="24">
        <f>606+2291+240</f>
        <v>3137</v>
      </c>
      <c r="J7" s="28">
        <f>Table378[[#This Row],[FEET7]]/5280</f>
        <v>0.16287878787878787</v>
      </c>
      <c r="K7" s="28">
        <v>860</v>
      </c>
      <c r="L7" s="25">
        <f>Table378[[#This Row],[FEET9]]/5280</f>
        <v>0</v>
      </c>
      <c r="M7" s="15"/>
    </row>
    <row r="8" spans="1:13" ht="15.75" thickBot="1" x14ac:dyDescent="0.3">
      <c r="A8" s="30"/>
      <c r="B8" s="8" t="s">
        <v>118</v>
      </c>
      <c r="C8" s="31" t="s">
        <v>254</v>
      </c>
      <c r="D8" s="28"/>
      <c r="E8" s="28"/>
      <c r="F8" s="23">
        <f>Table378[[#This Row],[FEET3]]/5280</f>
        <v>5.3498484848484846</v>
      </c>
      <c r="G8" s="23">
        <f>(4790*2)+379+237+(1394*2)+402+130+(1716*2)+((1.07*5280)*2)</f>
        <v>28247.200000000001</v>
      </c>
      <c r="H8" s="24">
        <f>Table378[[#This Row],[FEET5]]/5280</f>
        <v>0.50738636363636369</v>
      </c>
      <c r="I8" s="24">
        <f>379+1208+237+402+323+130</f>
        <v>2679</v>
      </c>
      <c r="J8" s="28">
        <f>Table378[[#This Row],[FEET7]]/5280</f>
        <v>0</v>
      </c>
      <c r="K8" s="28"/>
      <c r="L8" s="25">
        <f>Table378[[#This Row],[FEET9]]/5280</f>
        <v>0</v>
      </c>
      <c r="M8" s="15"/>
    </row>
    <row r="9" spans="1:13" ht="15.75" thickBot="1" x14ac:dyDescent="0.3">
      <c r="A9" s="26"/>
      <c r="B9" s="27" t="s">
        <v>56</v>
      </c>
      <c r="C9" s="27" t="s">
        <v>223</v>
      </c>
      <c r="D9" s="28"/>
      <c r="E9" s="29"/>
      <c r="F9" s="23">
        <f>Table378[[#This Row],[FEET3]]/5280</f>
        <v>2.3142045454545452</v>
      </c>
      <c r="G9" s="20">
        <f>322+(396*2)+(533*2)+201+327+(744*2)+198+(666*2)+208+179+(1469*2)+287+359+(2*1261)</f>
        <v>12219</v>
      </c>
      <c r="H9" s="21">
        <f>Table378[[#This Row],[FEET5]]/5280</f>
        <v>1.4484848484848485</v>
      </c>
      <c r="I9" s="21">
        <f>1832+322+201+571+327+806+198+208+704+179+297+1644+359</f>
        <v>7648</v>
      </c>
      <c r="J9" s="29">
        <f>Table378[[#This Row],[FEET7]]/5280</f>
        <v>2.6259469696969697</v>
      </c>
      <c r="K9" s="29">
        <f>5506+(1982*2)+2100+2066+229</f>
        <v>13865</v>
      </c>
      <c r="L9" s="22">
        <f>Table378[[#This Row],[FEET9]]/5280</f>
        <v>4.0151515151515153E-2</v>
      </c>
      <c r="M9" s="13">
        <v>212</v>
      </c>
    </row>
    <row r="10" spans="1:13" ht="15.75" thickBot="1" x14ac:dyDescent="0.3">
      <c r="A10" s="30"/>
      <c r="B10" s="31" t="s">
        <v>119</v>
      </c>
      <c r="C10" s="31" t="s">
        <v>224</v>
      </c>
      <c r="D10" s="28"/>
      <c r="E10" s="28"/>
      <c r="F10" s="23">
        <f>Table378[[#This Row],[FEET3]]/5280</f>
        <v>4.7297348484848483</v>
      </c>
      <c r="G10" s="23">
        <v>24973</v>
      </c>
      <c r="H10" s="24">
        <f>Table378[[#This Row],[FEET5]]/5280</f>
        <v>0.11079545454545454</v>
      </c>
      <c r="I10" s="24">
        <v>585</v>
      </c>
      <c r="J10" s="28">
        <f>Table378[[#This Row],[FEET7]]/5280</f>
        <v>5.6418560606060604</v>
      </c>
      <c r="K10" s="28">
        <v>29789</v>
      </c>
      <c r="L10" s="25">
        <f>Table378[[#This Row],[FEET9]]/5280</f>
        <v>0</v>
      </c>
      <c r="M10" s="15"/>
    </row>
    <row r="11" spans="1:13" ht="15.75" thickBot="1" x14ac:dyDescent="0.3">
      <c r="A11" s="26"/>
      <c r="B11" s="27" t="s">
        <v>120</v>
      </c>
      <c r="C11" s="27" t="s">
        <v>121</v>
      </c>
      <c r="D11" s="28"/>
      <c r="E11" s="29"/>
      <c r="F11" s="23">
        <f>Table378[[#This Row],[FEET3]]/5280</f>
        <v>0.16609848484848486</v>
      </c>
      <c r="G11" s="20">
        <v>877</v>
      </c>
      <c r="H11" s="21">
        <f>Table378[[#This Row],[FEET5]]/5280</f>
        <v>0.11647727272727272</v>
      </c>
      <c r="I11" s="21">
        <v>615</v>
      </c>
      <c r="J11" s="29">
        <f>Table378[[#This Row],[FEET7]]/5280</f>
        <v>0</v>
      </c>
      <c r="K11" s="29"/>
      <c r="L11" s="22">
        <f>Table378[[#This Row],[FEET9]]/5280</f>
        <v>0</v>
      </c>
      <c r="M11" s="13"/>
    </row>
    <row r="12" spans="1:13" ht="15.75" thickBot="1" x14ac:dyDescent="0.3">
      <c r="A12" s="30"/>
      <c r="B12" s="31" t="s">
        <v>120</v>
      </c>
      <c r="C12" s="31" t="s">
        <v>122</v>
      </c>
      <c r="D12" s="28"/>
      <c r="E12" s="28"/>
      <c r="F12" s="23">
        <f>Table378[[#This Row],[FEET3]]/5280</f>
        <v>1.0810606060606061</v>
      </c>
      <c r="G12" s="23">
        <v>5708</v>
      </c>
      <c r="H12" s="24">
        <f>Table378[[#This Row],[FEET5]]/5280</f>
        <v>5.8143939393939394E-2</v>
      </c>
      <c r="I12" s="24">
        <v>307</v>
      </c>
      <c r="J12" s="28">
        <f>Table378[[#This Row],[FEET7]]/5280</f>
        <v>0</v>
      </c>
      <c r="K12" s="28"/>
      <c r="L12" s="25">
        <f>Table378[[#This Row],[FEET9]]/5280</f>
        <v>0</v>
      </c>
      <c r="M12" s="15"/>
    </row>
    <row r="13" spans="1:13" ht="15.75" thickBot="1" x14ac:dyDescent="0.3">
      <c r="A13" s="30"/>
      <c r="B13" s="27" t="s">
        <v>116</v>
      </c>
      <c r="C13" s="27" t="s">
        <v>117</v>
      </c>
      <c r="D13" s="28"/>
      <c r="E13" s="29"/>
      <c r="F13" s="23">
        <f>Table378[[#This Row],[FEET3]]/5280</f>
        <v>1.2994318181818181</v>
      </c>
      <c r="G13" s="20">
        <v>6861</v>
      </c>
      <c r="H13" s="24">
        <f>Table378[[#This Row],[FEET5]]/5280</f>
        <v>8.5227272727272721E-2</v>
      </c>
      <c r="I13" s="21">
        <v>450</v>
      </c>
      <c r="J13" s="29">
        <f>Table378[[#This Row],[FEET7]]/5280</f>
        <v>1.8426136363636363</v>
      </c>
      <c r="K13" s="29">
        <v>9729</v>
      </c>
      <c r="L13" s="25">
        <f>Table378[[#This Row],[FEET9]]/5280</f>
        <v>0</v>
      </c>
      <c r="M13" s="15"/>
    </row>
    <row r="14" spans="1:13" ht="15.75" thickBot="1" x14ac:dyDescent="0.3">
      <c r="A14" s="26"/>
      <c r="B14" s="27" t="s">
        <v>8</v>
      </c>
      <c r="C14" s="27" t="s">
        <v>7</v>
      </c>
      <c r="D14" s="28"/>
      <c r="E14" s="29"/>
      <c r="F14" s="23">
        <f>Table378[[#This Row],[FEET3]]/5280</f>
        <v>1.1570075757575757</v>
      </c>
      <c r="G14" s="20">
        <v>6109</v>
      </c>
      <c r="H14" s="21">
        <f>Table378[[#This Row],[FEET5]]/5280</f>
        <v>0</v>
      </c>
      <c r="I14" s="21"/>
      <c r="J14" s="29">
        <f>Table378[[#This Row],[FEET7]]/5280</f>
        <v>0</v>
      </c>
      <c r="K14" s="29"/>
      <c r="L14" s="22">
        <f>Table378[[#This Row],[FEET9]]/5280</f>
        <v>4.3996212121212123E-2</v>
      </c>
      <c r="M14" s="13">
        <v>232.3</v>
      </c>
    </row>
    <row r="15" spans="1:13" ht="15.75" thickBot="1" x14ac:dyDescent="0.3">
      <c r="A15" s="5" t="s">
        <v>202</v>
      </c>
      <c r="B15" s="5"/>
      <c r="C15" s="5"/>
      <c r="D15" s="6"/>
      <c r="E15" s="7"/>
      <c r="F15" s="9">
        <f>Table378[[#This Row],[FEET3]]/5280</f>
        <v>0</v>
      </c>
      <c r="G15" s="10"/>
      <c r="H15" s="11">
        <f>Table378[[#This Row],[FEET5]]/5280</f>
        <v>0</v>
      </c>
      <c r="I15" s="12"/>
      <c r="J15" s="6">
        <f>Table378[[#This Row],[FEET7]]/5280</f>
        <v>0</v>
      </c>
      <c r="K15" s="7"/>
      <c r="L15" s="13">
        <f>Table378[[#This Row],[FEET9]]/5280</f>
        <v>0</v>
      </c>
      <c r="M15" s="14"/>
    </row>
    <row r="16" spans="1:13" ht="15.75" thickBot="1" x14ac:dyDescent="0.3">
      <c r="A16" s="30"/>
      <c r="B16" s="31" t="s">
        <v>101</v>
      </c>
      <c r="C16" s="31" t="s">
        <v>205</v>
      </c>
      <c r="D16" s="28"/>
      <c r="E16" s="28"/>
      <c r="F16" s="23">
        <f>Table378[[#This Row],[FEET3]]/5280</f>
        <v>2.688257575757576</v>
      </c>
      <c r="G16" s="23">
        <f>(3002*2)+1490+(3350*2)</f>
        <v>14194</v>
      </c>
      <c r="H16" s="24">
        <f>Table378[[#This Row],[FEET5]]/5280</f>
        <v>0.28219696969696972</v>
      </c>
      <c r="I16" s="24">
        <v>1490</v>
      </c>
      <c r="J16" s="28">
        <f>Table378[[#This Row],[FEET7]]/5280</f>
        <v>0</v>
      </c>
      <c r="K16" s="28"/>
      <c r="L16" s="25">
        <f>Table378[[#This Row],[FEET9]]/5280</f>
        <v>0</v>
      </c>
      <c r="M16" s="15"/>
    </row>
    <row r="17" spans="1:13" ht="15.75" thickBot="1" x14ac:dyDescent="0.3">
      <c r="A17" s="26"/>
      <c r="B17" s="27" t="s">
        <v>123</v>
      </c>
      <c r="C17" s="27" t="s">
        <v>206</v>
      </c>
      <c r="D17" s="28"/>
      <c r="E17" s="29"/>
      <c r="F17" s="23">
        <f>Table378[[#This Row],[FEET3]]/5280</f>
        <v>0.64337121212121207</v>
      </c>
      <c r="G17" s="20">
        <v>3397</v>
      </c>
      <c r="H17" s="21">
        <f>Table378[[#This Row],[FEET5]]/5280</f>
        <v>0.35473484848484849</v>
      </c>
      <c r="I17" s="21">
        <v>1873</v>
      </c>
      <c r="J17" s="29">
        <f>Table378[[#This Row],[FEET7]]/5280</f>
        <v>0</v>
      </c>
      <c r="K17" s="29"/>
      <c r="L17" s="22">
        <f>Table378[[#This Row],[FEET9]]/5280</f>
        <v>0</v>
      </c>
      <c r="M17" s="13"/>
    </row>
    <row r="18" spans="1:13" ht="15.75" thickBot="1" x14ac:dyDescent="0.3">
      <c r="A18" s="30"/>
      <c r="B18" s="31" t="s">
        <v>124</v>
      </c>
      <c r="C18" s="31" t="s">
        <v>100</v>
      </c>
      <c r="D18" s="28"/>
      <c r="E18" s="28"/>
      <c r="F18" s="23">
        <f>Table378[[#This Row],[FEET3]]/5280</f>
        <v>0.23598484848484849</v>
      </c>
      <c r="G18" s="23">
        <v>1246</v>
      </c>
      <c r="H18" s="24">
        <f>Table378[[#This Row],[FEET5]]/5280</f>
        <v>0.23655303030303029</v>
      </c>
      <c r="I18" s="24">
        <v>1249</v>
      </c>
      <c r="J18" s="28">
        <f>Table378[[#This Row],[FEET7]]/5280</f>
        <v>0</v>
      </c>
      <c r="K18" s="28"/>
      <c r="L18" s="25">
        <f>Table378[[#This Row],[FEET9]]/5280</f>
        <v>0</v>
      </c>
      <c r="M18" s="15"/>
    </row>
    <row r="19" spans="1:13" ht="15.75" thickBot="1" x14ac:dyDescent="0.3">
      <c r="A19" s="26"/>
      <c r="B19" s="27" t="s">
        <v>125</v>
      </c>
      <c r="C19" s="27" t="s">
        <v>99</v>
      </c>
      <c r="D19" s="28"/>
      <c r="E19" s="29"/>
      <c r="F19" s="23">
        <f>Table378[[#This Row],[FEET3]]/5280</f>
        <v>3.0950757575757577</v>
      </c>
      <c r="G19" s="20">
        <v>16342</v>
      </c>
      <c r="H19" s="21">
        <f>Table378[[#This Row],[FEET5]]/5280</f>
        <v>0.64223484848484846</v>
      </c>
      <c r="I19" s="21">
        <v>3391</v>
      </c>
      <c r="J19" s="29">
        <f>Table378[[#This Row],[FEET7]]/5280</f>
        <v>0</v>
      </c>
      <c r="K19" s="29"/>
      <c r="L19" s="22">
        <f>Table378[[#This Row],[FEET9]]/5280</f>
        <v>0</v>
      </c>
      <c r="M19" s="13"/>
    </row>
    <row r="20" spans="1:13" ht="15.75" thickBot="1" x14ac:dyDescent="0.3">
      <c r="A20" s="30"/>
      <c r="B20" s="8" t="s">
        <v>19</v>
      </c>
      <c r="C20" s="31" t="s">
        <v>263</v>
      </c>
      <c r="D20" s="28"/>
      <c r="E20" s="28"/>
      <c r="F20" s="23">
        <f>Table378[[#This Row],[FEET3]]/5280</f>
        <v>4.6159090909090912</v>
      </c>
      <c r="G20" s="23">
        <v>24372</v>
      </c>
      <c r="H20" s="24">
        <f>Table378[[#This Row],[FEET5]]/5280</f>
        <v>0.61242234848484856</v>
      </c>
      <c r="I20" s="24">
        <v>3233.59</v>
      </c>
      <c r="J20" s="28">
        <f>Table378[[#This Row],[FEET7]]/5280</f>
        <v>3.500757575757576</v>
      </c>
      <c r="K20" s="28">
        <v>18484</v>
      </c>
      <c r="L20" s="25">
        <f>Table378[[#This Row],[FEET9]]/5280</f>
        <v>0</v>
      </c>
      <c r="M20" s="15"/>
    </row>
    <row r="21" spans="1:13" ht="15.75" thickBot="1" x14ac:dyDescent="0.3">
      <c r="A21" s="5" t="s">
        <v>201</v>
      </c>
      <c r="B21" s="5"/>
      <c r="C21" s="5"/>
      <c r="D21" s="6"/>
      <c r="E21" s="7"/>
      <c r="F21" s="9">
        <f>Table378[[#This Row],[FEET3]]/5280</f>
        <v>0</v>
      </c>
      <c r="G21" s="10"/>
      <c r="H21" s="11">
        <f>Table378[[#This Row],[FEET5]]/5280</f>
        <v>0</v>
      </c>
      <c r="I21" s="12"/>
      <c r="J21" s="6">
        <f>Table378[[#This Row],[FEET7]]/5280</f>
        <v>0</v>
      </c>
      <c r="K21" s="7"/>
      <c r="L21" s="13">
        <f>Table378[[#This Row],[FEET9]]/5280</f>
        <v>0</v>
      </c>
      <c r="M21" s="14"/>
    </row>
    <row r="22" spans="1:13" ht="15.75" thickBot="1" x14ac:dyDescent="0.3">
      <c r="A22" s="26"/>
      <c r="B22" s="27" t="s">
        <v>74</v>
      </c>
      <c r="C22" s="27" t="s">
        <v>24</v>
      </c>
      <c r="D22" s="28"/>
      <c r="E22" s="29"/>
      <c r="F22" s="23">
        <f>Table378[[#This Row],[FEET3]]/5280</f>
        <v>4.0803030303030301</v>
      </c>
      <c r="G22" s="20">
        <v>21544</v>
      </c>
      <c r="H22" s="21">
        <f>Table378[[#This Row],[FEET5]]/5280</f>
        <v>2.5730681818181815</v>
      </c>
      <c r="I22" s="21">
        <v>13585.8</v>
      </c>
      <c r="J22" s="29">
        <f>Table378[[#This Row],[FEET7]]/5280</f>
        <v>4.3242424242424242</v>
      </c>
      <c r="K22" s="29">
        <v>22832</v>
      </c>
      <c r="L22" s="22">
        <f>Table378[[#This Row],[FEET9]]/5280</f>
        <v>0</v>
      </c>
      <c r="M22" s="13"/>
    </row>
    <row r="23" spans="1:13" ht="15.75" thickBot="1" x14ac:dyDescent="0.3">
      <c r="A23" s="26"/>
      <c r="B23" s="27" t="s">
        <v>25</v>
      </c>
      <c r="C23" s="27" t="s">
        <v>126</v>
      </c>
      <c r="D23" s="28"/>
      <c r="E23" s="29"/>
      <c r="F23" s="23">
        <f>Table378[[#This Row],[FEET3]]/5280</f>
        <v>0.49526515151515149</v>
      </c>
      <c r="G23" s="20">
        <v>2615</v>
      </c>
      <c r="H23" s="21">
        <f>Table378[[#This Row],[FEET5]]/5280</f>
        <v>0.16193181818181818</v>
      </c>
      <c r="I23" s="21">
        <v>855</v>
      </c>
      <c r="J23" s="29">
        <f>Table378[[#This Row],[FEET7]]/5280</f>
        <v>0</v>
      </c>
      <c r="K23" s="29"/>
      <c r="L23" s="22">
        <f>Table378[[#This Row],[FEET9]]/5280</f>
        <v>0</v>
      </c>
      <c r="M23" s="13"/>
    </row>
    <row r="24" spans="1:13" ht="15.75" thickBot="1" x14ac:dyDescent="0.3">
      <c r="A24" s="30"/>
      <c r="B24" s="31" t="s">
        <v>28</v>
      </c>
      <c r="C24" s="31" t="s">
        <v>127</v>
      </c>
      <c r="D24" s="28"/>
      <c r="E24" s="28"/>
      <c r="F24" s="23">
        <f>Table378[[#This Row],[FEET3]]/5280</f>
        <v>1.73</v>
      </c>
      <c r="G24" s="23">
        <v>9134.4</v>
      </c>
      <c r="H24" s="24">
        <f>Table378[[#This Row],[FEET5]]/5280</f>
        <v>0</v>
      </c>
      <c r="I24" s="24"/>
      <c r="J24" s="28">
        <f>Table378[[#This Row],[FEET7]]/5280</f>
        <v>3.2222765151515151</v>
      </c>
      <c r="K24" s="28">
        <f>(2698.81*2)+(5808*2)</f>
        <v>17013.62</v>
      </c>
      <c r="L24" s="25">
        <f>Table378[[#This Row],[FEET9]]/5280</f>
        <v>0.38068181818181818</v>
      </c>
      <c r="M24" s="15">
        <f>135+700+281+(447*2)</f>
        <v>2010</v>
      </c>
    </row>
    <row r="25" spans="1:13" ht="15.75" thickBot="1" x14ac:dyDescent="0.3">
      <c r="A25" s="30"/>
      <c r="B25" s="31" t="s">
        <v>30</v>
      </c>
      <c r="C25" s="31" t="s">
        <v>225</v>
      </c>
      <c r="D25" s="28"/>
      <c r="E25" s="28"/>
      <c r="F25" s="23">
        <f>Table378[[#This Row],[FEET3]]/5280</f>
        <v>4.7734848484848484</v>
      </c>
      <c r="G25" s="23">
        <f>(2*1806)+(2*4811)+(2*3711)+(2*973)+365+920+456+377+484</f>
        <v>25204</v>
      </c>
      <c r="H25" s="24">
        <f>Table378[[#This Row],[FEET5]]/5280</f>
        <v>0.73603598484848487</v>
      </c>
      <c r="I25" s="24">
        <f>187+1991.5+365+456+883+3.77</f>
        <v>3886.27</v>
      </c>
      <c r="J25" s="28">
        <f>Table378[[#This Row],[FEET7]]/5280</f>
        <v>2.36</v>
      </c>
      <c r="K25" s="28">
        <v>12460.8</v>
      </c>
      <c r="L25" s="25">
        <f>Table378[[#This Row],[FEET9]]/5280</f>
        <v>0</v>
      </c>
      <c r="M25" s="15"/>
    </row>
    <row r="26" spans="1:13" ht="15.75" thickBot="1" x14ac:dyDescent="0.3">
      <c r="A26" s="26"/>
      <c r="B26" s="27" t="s">
        <v>6</v>
      </c>
      <c r="C26" s="27" t="s">
        <v>226</v>
      </c>
      <c r="D26" s="28"/>
      <c r="E26" s="29"/>
      <c r="F26" s="23">
        <f>Table378[[#This Row],[FEET3]]/5280</f>
        <v>0.33333333333333331</v>
      </c>
      <c r="G26" s="20">
        <f>2*880</f>
        <v>1760</v>
      </c>
      <c r="H26" s="21">
        <f>Table378[[#This Row],[FEET5]]/5280</f>
        <v>0</v>
      </c>
      <c r="I26" s="21"/>
      <c r="J26" s="29">
        <f>Table378[[#This Row],[FEET7]]/5280</f>
        <v>2.556818181818182E-2</v>
      </c>
      <c r="K26" s="29">
        <v>135</v>
      </c>
      <c r="L26" s="22">
        <f>Table378[[#This Row],[FEET9]]/5280</f>
        <v>0</v>
      </c>
      <c r="M26" s="13"/>
    </row>
    <row r="27" spans="1:13" ht="15.75" thickBot="1" x14ac:dyDescent="0.3">
      <c r="A27" s="30"/>
      <c r="B27" s="31" t="s">
        <v>6</v>
      </c>
      <c r="C27" s="31" t="s">
        <v>128</v>
      </c>
      <c r="D27" s="28"/>
      <c r="E27" s="28"/>
      <c r="F27" s="23">
        <f>Table378[[#This Row],[FEET3]]/5280</f>
        <v>0.21249999999999999</v>
      </c>
      <c r="G27" s="23">
        <f>560+132+430</f>
        <v>1122</v>
      </c>
      <c r="H27" s="24">
        <f>Table378[[#This Row],[FEET5]]/5280</f>
        <v>0.22196969696969698</v>
      </c>
      <c r="I27" s="24">
        <f>132+610+430</f>
        <v>1172</v>
      </c>
      <c r="J27" s="28">
        <f>Table378[[#This Row],[FEET7]]/5280</f>
        <v>0.5636363636363636</v>
      </c>
      <c r="K27" s="28">
        <f>1488*2</f>
        <v>2976</v>
      </c>
      <c r="L27" s="25">
        <f>Table378[[#This Row],[FEET9]]/5280</f>
        <v>0</v>
      </c>
      <c r="M27" s="15"/>
    </row>
    <row r="28" spans="1:13" ht="15.75" thickBot="1" x14ac:dyDescent="0.3">
      <c r="A28" s="30"/>
      <c r="B28" s="31" t="s">
        <v>49</v>
      </c>
      <c r="C28" s="31" t="s">
        <v>130</v>
      </c>
      <c r="D28" s="28"/>
      <c r="E28" s="28"/>
      <c r="F28" s="23">
        <f>Table378[[#This Row],[FEET3]]/5280</f>
        <v>1.9994318181818183</v>
      </c>
      <c r="G28" s="23">
        <v>10557</v>
      </c>
      <c r="H28" s="24">
        <f>Table378[[#This Row],[FEET5]]/5280</f>
        <v>0.27443181818181817</v>
      </c>
      <c r="I28" s="24">
        <v>1449</v>
      </c>
      <c r="J28" s="28">
        <f>Table378[[#This Row],[FEET7]]/5280</f>
        <v>0</v>
      </c>
      <c r="K28" s="28"/>
      <c r="L28" s="25">
        <f>Table378[[#This Row],[FEET9]]/5280</f>
        <v>0</v>
      </c>
      <c r="M28" s="15"/>
    </row>
    <row r="29" spans="1:13" ht="15.75" thickBot="1" x14ac:dyDescent="0.3">
      <c r="A29" s="35"/>
      <c r="B29" s="27" t="s">
        <v>97</v>
      </c>
      <c r="C29" s="27" t="s">
        <v>258</v>
      </c>
      <c r="D29" s="28"/>
      <c r="E29" s="29"/>
      <c r="F29" s="23">
        <f>Table378[[#This Row],[FEET3]]/5280</f>
        <v>1.0299242424242425</v>
      </c>
      <c r="G29" s="20">
        <f>((452*2)+386+1095+733+785+203+412+189+(423*2)+379+415)-909</f>
        <v>5438</v>
      </c>
      <c r="H29" s="21">
        <f>Table378[[#This Row],[FEET5]]/5280</f>
        <v>1.5411931818181819</v>
      </c>
      <c r="I29" s="21">
        <f>(415+937+379+189+412+203+170+785+416+733+491+1095+2360+386)-833.5</f>
        <v>8137.5</v>
      </c>
      <c r="J29" s="29">
        <f>Table378[[#This Row],[FEET7]]/5280</f>
        <v>3</v>
      </c>
      <c r="K29" s="29">
        <v>15840</v>
      </c>
      <c r="L29" s="22">
        <f>Table378[[#This Row],[FEET9]]/5280</f>
        <v>0</v>
      </c>
      <c r="M29" s="13"/>
    </row>
    <row r="30" spans="1:13" ht="15.75" thickBot="1" x14ac:dyDescent="0.3">
      <c r="A30" s="30"/>
      <c r="B30" s="31" t="s">
        <v>95</v>
      </c>
      <c r="C30" s="31" t="s">
        <v>131</v>
      </c>
      <c r="D30" s="28"/>
      <c r="E30" s="28"/>
      <c r="F30" s="23">
        <f>Table378[[#This Row],[FEET3]]/5280</f>
        <v>0.32462121212121214</v>
      </c>
      <c r="G30" s="23">
        <v>1714</v>
      </c>
      <c r="H30" s="24">
        <f>Table378[[#This Row],[FEET5]]/5280</f>
        <v>0.15</v>
      </c>
      <c r="I30" s="24">
        <v>792</v>
      </c>
      <c r="J30" s="28">
        <f>Table378[[#This Row],[FEET7]]/5280</f>
        <v>0</v>
      </c>
      <c r="K30" s="28"/>
      <c r="L30" s="25">
        <f>Table378[[#This Row],[FEET9]]/5280</f>
        <v>0</v>
      </c>
      <c r="M30" s="15"/>
    </row>
    <row r="31" spans="1:13" ht="15.75" thickBot="1" x14ac:dyDescent="0.3">
      <c r="A31" s="26"/>
      <c r="B31" s="27" t="s">
        <v>26</v>
      </c>
      <c r="C31" s="27" t="s">
        <v>132</v>
      </c>
      <c r="D31" s="28"/>
      <c r="E31" s="29"/>
      <c r="F31" s="23">
        <f>Table378[[#This Row],[FEET3]]/5280</f>
        <v>8.9621212121212128</v>
      </c>
      <c r="G31" s="20">
        <v>47320</v>
      </c>
      <c r="H31" s="21">
        <f>Table378[[#This Row],[FEET5]]/5280</f>
        <v>0.20950757575757575</v>
      </c>
      <c r="I31" s="21">
        <v>1106.2</v>
      </c>
      <c r="J31" s="29">
        <f>Table378[[#This Row],[FEET7]]/5280</f>
        <v>6.4460037878787881</v>
      </c>
      <c r="K31" s="29">
        <v>34034.9</v>
      </c>
      <c r="L31" s="22">
        <f>Table378[[#This Row],[FEET9]]/5280</f>
        <v>0</v>
      </c>
      <c r="M31" s="13"/>
    </row>
    <row r="32" spans="1:13" ht="15.75" thickBot="1" x14ac:dyDescent="0.3">
      <c r="A32" s="30"/>
      <c r="B32" s="31" t="s">
        <v>120</v>
      </c>
      <c r="C32" s="31" t="s">
        <v>226</v>
      </c>
      <c r="D32" s="28"/>
      <c r="E32" s="28"/>
      <c r="F32" s="23">
        <f>Table378[[#This Row],[FEET3]]/5280</f>
        <v>0.39583333333333331</v>
      </c>
      <c r="G32" s="23">
        <f>1045*2</f>
        <v>2090</v>
      </c>
      <c r="H32" s="24">
        <f>Table378[[#This Row],[FEET5]]/5280</f>
        <v>0</v>
      </c>
      <c r="I32" s="24"/>
      <c r="J32" s="28">
        <f>Table378[[#This Row],[FEET7]]/5280</f>
        <v>0.40113636363636362</v>
      </c>
      <c r="K32" s="28">
        <f>1059*2</f>
        <v>2118</v>
      </c>
      <c r="L32" s="25">
        <f>Table378[[#This Row],[FEET9]]/5280</f>
        <v>0</v>
      </c>
      <c r="M32" s="15"/>
    </row>
    <row r="33" spans="1:13" ht="15.75" thickBot="1" x14ac:dyDescent="0.3">
      <c r="A33" s="30"/>
      <c r="B33" s="31" t="s">
        <v>120</v>
      </c>
      <c r="C33" s="31" t="s">
        <v>134</v>
      </c>
      <c r="D33" s="28"/>
      <c r="E33" s="28"/>
      <c r="F33" s="23">
        <f>Table378[[#This Row],[FEET3]]/5280</f>
        <v>0.62632575757575759</v>
      </c>
      <c r="G33" s="23">
        <v>3307</v>
      </c>
      <c r="H33" s="24">
        <f>Table378[[#This Row],[FEET5]]/5280</f>
        <v>9.6401515151515155E-2</v>
      </c>
      <c r="I33" s="24">
        <v>509</v>
      </c>
      <c r="J33" s="28">
        <f>Table378[[#This Row],[FEET7]]/5280</f>
        <v>0</v>
      </c>
      <c r="K33" s="28"/>
      <c r="L33" s="25">
        <f>Table378[[#This Row],[FEET9]]/5280</f>
        <v>0</v>
      </c>
      <c r="M33" s="15"/>
    </row>
    <row r="34" spans="1:13" ht="15.75" thickBot="1" x14ac:dyDescent="0.3">
      <c r="A34" s="30"/>
      <c r="B34" s="27" t="s">
        <v>27</v>
      </c>
      <c r="C34" s="27" t="s">
        <v>29</v>
      </c>
      <c r="D34" s="28"/>
      <c r="E34" s="29"/>
      <c r="F34" s="23">
        <f>Table378[[#This Row],[FEET3]]/5280</f>
        <v>2.9651515151515153</v>
      </c>
      <c r="G34" s="20">
        <v>15656</v>
      </c>
      <c r="H34" s="21">
        <f>Table378[[#This Row],[FEET5]]/5280</f>
        <v>0.28314393939393939</v>
      </c>
      <c r="I34" s="21">
        <v>1495</v>
      </c>
      <c r="J34" s="29">
        <f>Table378[[#This Row],[FEET7]]/5280</f>
        <v>4.5265151515151514</v>
      </c>
      <c r="K34" s="29">
        <v>23900</v>
      </c>
      <c r="L34" s="25">
        <f>Table378[[#This Row],[FEET9]]/5280</f>
        <v>0</v>
      </c>
      <c r="M34" s="15"/>
    </row>
    <row r="35" spans="1:13" ht="15.75" thickBot="1" x14ac:dyDescent="0.3">
      <c r="A35" s="30"/>
      <c r="B35" s="33" t="s">
        <v>27</v>
      </c>
      <c r="C35" s="31" t="s">
        <v>247</v>
      </c>
      <c r="D35" s="28"/>
      <c r="E35" s="28"/>
      <c r="F35" s="23">
        <f>Table378[[#This Row],[FEET3]]/5280</f>
        <v>0</v>
      </c>
      <c r="G35" s="23"/>
      <c r="H35" s="24">
        <f>Table378[[#This Row],[FEET5]]/5280</f>
        <v>0.29749999999999999</v>
      </c>
      <c r="I35" s="24">
        <v>1570.8</v>
      </c>
      <c r="J35" s="28">
        <f>Table378[[#This Row],[FEET7]]/5280</f>
        <v>0</v>
      </c>
      <c r="K35" s="28"/>
      <c r="L35" s="25">
        <f>Table378[[#This Row],[FEET9]]/5280</f>
        <v>0</v>
      </c>
      <c r="M35" s="15"/>
    </row>
    <row r="36" spans="1:13" ht="15.75" thickBot="1" x14ac:dyDescent="0.3">
      <c r="A36" s="30"/>
      <c r="B36" s="27" t="s">
        <v>6</v>
      </c>
      <c r="C36" s="27" t="s">
        <v>129</v>
      </c>
      <c r="D36" s="28"/>
      <c r="E36" s="29"/>
      <c r="F36" s="23">
        <f>Table378[[#This Row],[FEET3]]/5280</f>
        <v>1.3837121212121213</v>
      </c>
      <c r="G36" s="20">
        <f>6420+468+418</f>
        <v>7306</v>
      </c>
      <c r="H36" s="21">
        <f>Table378[[#This Row],[FEET5]]/5280</f>
        <v>0.72916666666666663</v>
      </c>
      <c r="I36" s="21">
        <f>468+1513+1451+418</f>
        <v>3850</v>
      </c>
      <c r="J36" s="29">
        <f>Table378[[#This Row],[FEET7]]/5280</f>
        <v>0</v>
      </c>
      <c r="K36" s="29"/>
      <c r="L36" s="25">
        <f>Table378[[#This Row],[FEET9]]/5280</f>
        <v>0</v>
      </c>
      <c r="M36" s="15"/>
    </row>
    <row r="37" spans="1:13" ht="15.75" thickBot="1" x14ac:dyDescent="0.3">
      <c r="A37" s="30"/>
      <c r="B37" s="27" t="s">
        <v>120</v>
      </c>
      <c r="C37" s="27" t="s">
        <v>133</v>
      </c>
      <c r="D37" s="28"/>
      <c r="E37" s="29"/>
      <c r="F37" s="23">
        <f>Table378[[#This Row],[FEET3]]/5280</f>
        <v>2.0948863636363635</v>
      </c>
      <c r="G37" s="20">
        <v>11061</v>
      </c>
      <c r="H37" s="21">
        <f>Table378[[#This Row],[FEET5]]/5280</f>
        <v>0.22329545454545455</v>
      </c>
      <c r="I37" s="21">
        <v>1179</v>
      </c>
      <c r="J37" s="29">
        <f>Table378[[#This Row],[FEET7]]/5280</f>
        <v>1.897348484848485</v>
      </c>
      <c r="K37" s="29">
        <v>10018</v>
      </c>
      <c r="L37" s="25">
        <f>Table378[[#This Row],[FEET9]]/5280</f>
        <v>0</v>
      </c>
      <c r="M37" s="15"/>
    </row>
    <row r="38" spans="1:13" ht="15.75" thickBot="1" x14ac:dyDescent="0.3">
      <c r="A38" s="26"/>
      <c r="B38" s="27" t="s">
        <v>94</v>
      </c>
      <c r="C38" s="27" t="s">
        <v>109</v>
      </c>
      <c r="D38" s="28"/>
      <c r="E38" s="29"/>
      <c r="F38" s="23">
        <f>Table378[[#This Row],[FEET3]]/5280</f>
        <v>0.21590909090909091</v>
      </c>
      <c r="G38" s="20">
        <v>1140</v>
      </c>
      <c r="H38" s="21">
        <f>Table378[[#This Row],[FEET5]]/5280</f>
        <v>0</v>
      </c>
      <c r="I38" s="21"/>
      <c r="J38" s="29">
        <f>Table378[[#This Row],[FEET7]]/5280</f>
        <v>0</v>
      </c>
      <c r="K38" s="29"/>
      <c r="L38" s="22">
        <f>Table378[[#This Row],[FEET9]]/5280</f>
        <v>0</v>
      </c>
      <c r="M38" s="13"/>
    </row>
    <row r="39" spans="1:13" ht="15.75" thickBot="1" x14ac:dyDescent="0.3">
      <c r="A39" s="5" t="s">
        <v>221</v>
      </c>
      <c r="B39" s="5"/>
      <c r="C39" s="5"/>
      <c r="D39" s="6"/>
      <c r="E39" s="7"/>
      <c r="F39" s="9">
        <f>Table378[[#This Row],[FEET3]]/5280</f>
        <v>0</v>
      </c>
      <c r="G39" s="10"/>
      <c r="H39" s="11">
        <f>Table378[[#This Row],[FEET5]]/5280</f>
        <v>0</v>
      </c>
      <c r="I39" s="12"/>
      <c r="J39" s="6">
        <f>Table378[[#This Row],[FEET7]]/5280</f>
        <v>0</v>
      </c>
      <c r="K39" s="7"/>
      <c r="L39" s="13">
        <f>Table378[[#This Row],[FEET9]]/5280</f>
        <v>0</v>
      </c>
      <c r="M39" s="14"/>
    </row>
    <row r="40" spans="1:13" ht="15.75" thickBot="1" x14ac:dyDescent="0.3">
      <c r="A40" s="30"/>
      <c r="B40" s="31" t="s">
        <v>20</v>
      </c>
      <c r="C40" s="31" t="s">
        <v>87</v>
      </c>
      <c r="D40" s="28"/>
      <c r="E40" s="28"/>
      <c r="F40" s="23">
        <f>Table378[[#This Row],[FEET3]]/5280</f>
        <v>0.49998106060606062</v>
      </c>
      <c r="G40" s="23">
        <v>2639.9</v>
      </c>
      <c r="H40" s="24">
        <f>Table378[[#This Row],[FEET5]]/5280</f>
        <v>0.18100378787878788</v>
      </c>
      <c r="I40" s="24">
        <v>955.7</v>
      </c>
      <c r="J40" s="28">
        <f>Table378[[#This Row],[FEET7]]/5280</f>
        <v>0</v>
      </c>
      <c r="K40" s="28"/>
      <c r="L40" s="25">
        <f>Table378[[#This Row],[FEET9]]/5280</f>
        <v>0</v>
      </c>
      <c r="M40" s="15"/>
    </row>
    <row r="41" spans="1:13" ht="15.75" thickBot="1" x14ac:dyDescent="0.3">
      <c r="A41" s="26"/>
      <c r="B41" s="27" t="s">
        <v>20</v>
      </c>
      <c r="C41" s="27" t="s">
        <v>86</v>
      </c>
      <c r="D41" s="28"/>
      <c r="E41" s="29"/>
      <c r="F41" s="23">
        <f>Table378[[#This Row],[FEET3]]/5280</f>
        <v>4.5183712121212123</v>
      </c>
      <c r="G41" s="20">
        <v>23857</v>
      </c>
      <c r="H41" s="21">
        <f>Table378[[#This Row],[FEET5]]/5280</f>
        <v>0.72897727272727275</v>
      </c>
      <c r="I41" s="21">
        <v>3849</v>
      </c>
      <c r="J41" s="29">
        <f>Table378[[#This Row],[FEET7]]/5280</f>
        <v>0</v>
      </c>
      <c r="K41" s="29"/>
      <c r="L41" s="22">
        <f>Table378[[#This Row],[FEET9]]/5280</f>
        <v>0</v>
      </c>
      <c r="M41" s="13"/>
    </row>
    <row r="42" spans="1:13" ht="15.75" thickBot="1" x14ac:dyDescent="0.3">
      <c r="A42" s="30"/>
      <c r="B42" s="31" t="s">
        <v>36</v>
      </c>
      <c r="C42" s="31" t="s">
        <v>37</v>
      </c>
      <c r="D42" s="28"/>
      <c r="E42" s="28"/>
      <c r="F42" s="23">
        <f>Table378[[#This Row],[FEET3]]/5280</f>
        <v>4.1789772727272725</v>
      </c>
      <c r="G42" s="23">
        <v>22065</v>
      </c>
      <c r="H42" s="24">
        <f>Table378[[#This Row],[FEET5]]/5280</f>
        <v>0.48068181818181815</v>
      </c>
      <c r="I42" s="24">
        <v>2538</v>
      </c>
      <c r="J42" s="28">
        <f>Table378[[#This Row],[FEET7]]/5280</f>
        <v>0</v>
      </c>
      <c r="K42" s="28"/>
      <c r="L42" s="25">
        <f>Table378[[#This Row],[FEET9]]/5280</f>
        <v>0</v>
      </c>
      <c r="M42" s="15"/>
    </row>
    <row r="43" spans="1:13" ht="15.75" thickBot="1" x14ac:dyDescent="0.3">
      <c r="A43" s="30"/>
      <c r="B43" s="31" t="s">
        <v>135</v>
      </c>
      <c r="C43" s="31" t="s">
        <v>208</v>
      </c>
      <c r="D43" s="28"/>
      <c r="E43" s="28"/>
      <c r="F43" s="23">
        <f>Table378[[#This Row],[FEET3]]/5280</f>
        <v>6.9393939393939394</v>
      </c>
      <c r="G43" s="23">
        <f>(2*16081)+(1188*2)+(2*1051)</f>
        <v>36640</v>
      </c>
      <c r="H43" s="24">
        <f>Table378[[#This Row],[FEET5]]/5280</f>
        <v>0.88371212121212117</v>
      </c>
      <c r="I43" s="24">
        <v>4666</v>
      </c>
      <c r="J43" s="28">
        <f>Table378[[#This Row],[FEET7]]/5280</f>
        <v>8.1439393939393945</v>
      </c>
      <c r="K43" s="28">
        <v>43000</v>
      </c>
      <c r="L43" s="25">
        <f>Table378[[#This Row],[FEET9]]/5280</f>
        <v>0</v>
      </c>
      <c r="M43" s="15"/>
    </row>
    <row r="44" spans="1:13" ht="15.75" thickBot="1" x14ac:dyDescent="0.3">
      <c r="A44" s="30"/>
      <c r="B44" s="27" t="s">
        <v>135</v>
      </c>
      <c r="C44" s="27" t="s">
        <v>207</v>
      </c>
      <c r="D44" s="28"/>
      <c r="E44" s="29"/>
      <c r="F44" s="23">
        <f>Table378[[#This Row],[FEET3]]/5280</f>
        <v>1.1210227272727273</v>
      </c>
      <c r="G44" s="20">
        <v>5919</v>
      </c>
      <c r="H44" s="21">
        <f>Table378[[#This Row],[FEET5]]/5280</f>
        <v>0.38181818181818183</v>
      </c>
      <c r="I44" s="21">
        <v>2016</v>
      </c>
      <c r="J44" s="28">
        <f>Table378[[#This Row],[FEET7]]/5280</f>
        <v>0</v>
      </c>
      <c r="K44" s="28"/>
      <c r="L44" s="25">
        <f>Table378[[#This Row],[FEET9]]/5280</f>
        <v>0</v>
      </c>
      <c r="M44" s="15"/>
    </row>
    <row r="45" spans="1:13" ht="15.75" thickBot="1" x14ac:dyDescent="0.3">
      <c r="A45" s="30"/>
      <c r="B45" s="8" t="s">
        <v>136</v>
      </c>
      <c r="C45" s="31" t="s">
        <v>265</v>
      </c>
      <c r="D45" s="28"/>
      <c r="E45" s="28"/>
      <c r="F45" s="23">
        <f>Table378[[#This Row],[FEET3]]/5280</f>
        <v>5.0596590909090908</v>
      </c>
      <c r="G45" s="23">
        <f>26056+659</f>
        <v>26715</v>
      </c>
      <c r="H45" s="24">
        <f>Table378[[#This Row],[FEET5]]/5280</f>
        <v>1.3111742424242425</v>
      </c>
      <c r="I45" s="24">
        <f>1836+5087</f>
        <v>6923</v>
      </c>
      <c r="J45" s="28">
        <f>Table378[[#This Row],[FEET7]]/5280</f>
        <v>0</v>
      </c>
      <c r="K45" s="28"/>
      <c r="L45" s="25">
        <f>Table378[[#This Row],[FEET9]]/5280</f>
        <v>0</v>
      </c>
      <c r="M45" s="15"/>
    </row>
    <row r="46" spans="1:13" ht="15.75" thickBot="1" x14ac:dyDescent="0.3">
      <c r="A46" s="30"/>
      <c r="B46" s="27" t="s">
        <v>34</v>
      </c>
      <c r="C46" s="27" t="s">
        <v>209</v>
      </c>
      <c r="D46" s="28"/>
      <c r="E46" s="29"/>
      <c r="F46" s="23">
        <f>Table378[[#This Row],[FEET3]]/5280</f>
        <v>0.9928030303030303</v>
      </c>
      <c r="G46" s="20">
        <f>2621*2</f>
        <v>5242</v>
      </c>
      <c r="H46" s="21">
        <f>Table378[[#This Row],[FEET5]]/5280</f>
        <v>0</v>
      </c>
      <c r="I46" s="21"/>
      <c r="J46" s="28">
        <f>Table378[[#This Row],[FEET7]]/5280</f>
        <v>0</v>
      </c>
      <c r="K46" s="28"/>
      <c r="L46" s="25">
        <f>Table378[[#This Row],[FEET9]]/5280</f>
        <v>0</v>
      </c>
      <c r="M46" s="15"/>
    </row>
    <row r="47" spans="1:13" ht="15.75" thickBot="1" x14ac:dyDescent="0.3">
      <c r="A47" s="30"/>
      <c r="B47" s="31" t="s">
        <v>34</v>
      </c>
      <c r="C47" s="31" t="s">
        <v>137</v>
      </c>
      <c r="D47" s="28"/>
      <c r="E47" s="28"/>
      <c r="F47" s="23">
        <f>Table378[[#This Row],[FEET3]]/5280</f>
        <v>4.1685606060606064</v>
      </c>
      <c r="G47" s="23">
        <v>22010</v>
      </c>
      <c r="H47" s="24">
        <f>Table378[[#This Row],[FEET5]]/5280</f>
        <v>0.44829545454545455</v>
      </c>
      <c r="I47" s="24">
        <v>2367</v>
      </c>
      <c r="J47" s="28">
        <f>Table378[[#This Row],[FEET7]]/5280</f>
        <v>7.3361742424242422</v>
      </c>
      <c r="K47" s="28">
        <v>38735</v>
      </c>
      <c r="L47" s="25">
        <f>Table378[[#This Row],[FEET9]]/5280</f>
        <v>0</v>
      </c>
      <c r="M47" s="15"/>
    </row>
    <row r="48" spans="1:13" ht="15.75" thickBot="1" x14ac:dyDescent="0.3">
      <c r="A48" s="34"/>
      <c r="B48" s="31" t="s">
        <v>139</v>
      </c>
      <c r="C48" s="31" t="s">
        <v>255</v>
      </c>
      <c r="D48" s="28"/>
      <c r="E48" s="28"/>
      <c r="F48" s="23">
        <f>Table378[[#This Row],[FEET3]]/5280</f>
        <v>2.1607954545454544</v>
      </c>
      <c r="G48" s="23">
        <v>11409</v>
      </c>
      <c r="H48" s="24">
        <f>Table378[[#This Row],[FEET5]]/5280</f>
        <v>0.25170454545454546</v>
      </c>
      <c r="I48" s="24">
        <v>1329</v>
      </c>
      <c r="J48" s="28">
        <f>Table378[[#This Row],[FEET7]]/5280</f>
        <v>4</v>
      </c>
      <c r="K48" s="28">
        <f>5280*4</f>
        <v>21120</v>
      </c>
      <c r="L48" s="25">
        <f>Table378[[#This Row],[FEET9]]/5280</f>
        <v>0</v>
      </c>
      <c r="M48" s="15"/>
    </row>
    <row r="49" spans="1:13" ht="15.75" thickBot="1" x14ac:dyDescent="0.3">
      <c r="A49" s="5" t="s">
        <v>222</v>
      </c>
      <c r="B49" s="5"/>
      <c r="C49" s="5"/>
      <c r="D49" s="6"/>
      <c r="E49" s="7"/>
      <c r="F49" s="9">
        <f>Table378[[#This Row],[FEET3]]/5280</f>
        <v>0</v>
      </c>
      <c r="G49" s="10"/>
      <c r="H49" s="11">
        <f>Table378[[#This Row],[FEET5]]/5280</f>
        <v>0</v>
      </c>
      <c r="I49" s="12"/>
      <c r="J49" s="6">
        <f>Table378[[#This Row],[FEET7]]/5280</f>
        <v>0</v>
      </c>
      <c r="K49" s="7"/>
      <c r="L49" s="13">
        <f>Table378[[#This Row],[FEET9]]/5280</f>
        <v>0</v>
      </c>
      <c r="M49" s="14"/>
    </row>
    <row r="50" spans="1:13" ht="15.75" thickBot="1" x14ac:dyDescent="0.3">
      <c r="A50" s="30"/>
      <c r="B50" s="31" t="s">
        <v>74</v>
      </c>
      <c r="C50" s="31" t="s">
        <v>104</v>
      </c>
      <c r="D50" s="28"/>
      <c r="E50" s="28"/>
      <c r="F50" s="23">
        <f>Table378[[#This Row],[FEET3]]/5280</f>
        <v>1.0659090909090909</v>
      </c>
      <c r="G50" s="23">
        <v>5628</v>
      </c>
      <c r="H50" s="24">
        <f>Table378[[#This Row],[FEET5]]/5280</f>
        <v>1.8749999999999999E-2</v>
      </c>
      <c r="I50" s="24">
        <v>99</v>
      </c>
      <c r="J50" s="28">
        <f>Table378[[#This Row],[FEET7]]/5280</f>
        <v>1.2079545454545455</v>
      </c>
      <c r="K50" s="28">
        <v>6378</v>
      </c>
      <c r="L50" s="25">
        <f>Table378[[#This Row],[FEET9]]/5280</f>
        <v>0</v>
      </c>
      <c r="M50" s="15"/>
    </row>
    <row r="51" spans="1:13" ht="15.75" thickBot="1" x14ac:dyDescent="0.3">
      <c r="A51" s="35"/>
      <c r="B51" s="27" t="s">
        <v>71</v>
      </c>
      <c r="C51" s="27" t="s">
        <v>121</v>
      </c>
      <c r="D51" s="28"/>
      <c r="E51" s="29"/>
      <c r="F51" s="23">
        <f>Table378[[#This Row],[FEET3]]/5280</f>
        <v>2.052840909090909</v>
      </c>
      <c r="G51" s="20">
        <v>10839</v>
      </c>
      <c r="H51" s="21">
        <f>Table378[[#This Row],[FEET5]]/5280</f>
        <v>0.17386363636363636</v>
      </c>
      <c r="I51" s="21">
        <v>918</v>
      </c>
      <c r="J51" s="29">
        <f>Table378[[#This Row],[FEET7]]/5280</f>
        <v>0</v>
      </c>
      <c r="K51" s="29"/>
      <c r="L51" s="22">
        <f>Table378[[#This Row],[FEET9]]/5280</f>
        <v>0</v>
      </c>
      <c r="M51" s="13"/>
    </row>
    <row r="52" spans="1:13" ht="15.75" thickBot="1" x14ac:dyDescent="0.3">
      <c r="A52" s="26"/>
      <c r="B52" s="27" t="s">
        <v>107</v>
      </c>
      <c r="C52" s="27" t="s">
        <v>141</v>
      </c>
      <c r="D52" s="28"/>
      <c r="E52" s="29"/>
      <c r="F52" s="23">
        <f>Table378[[#This Row],[FEET3]]/5280</f>
        <v>0.74147727272727271</v>
      </c>
      <c r="G52" s="20">
        <v>3915</v>
      </c>
      <c r="H52" s="21">
        <f>Table378[[#This Row],[FEET5]]/5280</f>
        <v>0</v>
      </c>
      <c r="I52" s="21"/>
      <c r="J52" s="29">
        <f>Table378[[#This Row],[FEET7]]/5280</f>
        <v>0.13030303030303031</v>
      </c>
      <c r="K52" s="29">
        <v>688</v>
      </c>
      <c r="L52" s="22">
        <f>Table378[[#This Row],[FEET9]]/5280</f>
        <v>0</v>
      </c>
      <c r="M52" s="13"/>
    </row>
    <row r="53" spans="1:13" ht="15.75" thickBot="1" x14ac:dyDescent="0.3">
      <c r="A53" s="26"/>
      <c r="B53" s="27" t="s">
        <v>105</v>
      </c>
      <c r="C53" s="27" t="s">
        <v>106</v>
      </c>
      <c r="D53" s="28"/>
      <c r="E53" s="29"/>
      <c r="F53" s="23">
        <f>Table378[[#This Row],[FEET3]]/5280</f>
        <v>0.36401515151515151</v>
      </c>
      <c r="G53" s="20">
        <v>1922</v>
      </c>
      <c r="H53" s="21">
        <f>Table378[[#This Row],[FEET5]]/5280</f>
        <v>0</v>
      </c>
      <c r="I53" s="21"/>
      <c r="J53" s="29">
        <f>Table378[[#This Row],[FEET7]]/5280</f>
        <v>0</v>
      </c>
      <c r="K53" s="29"/>
      <c r="L53" s="22">
        <f>Table378[[#This Row],[FEET9]]/5280</f>
        <v>0</v>
      </c>
      <c r="M53" s="13"/>
    </row>
    <row r="54" spans="1:13" ht="15.75" thickBot="1" x14ac:dyDescent="0.3">
      <c r="A54" s="30"/>
      <c r="B54" s="31" t="s">
        <v>12</v>
      </c>
      <c r="C54" s="31" t="s">
        <v>142</v>
      </c>
      <c r="D54" s="28"/>
      <c r="E54" s="28"/>
      <c r="F54" s="23">
        <f>Table378[[#This Row],[FEET3]]/5280</f>
        <v>3.7028409090909089</v>
      </c>
      <c r="G54" s="23">
        <v>19551</v>
      </c>
      <c r="H54" s="24">
        <f>Table378[[#This Row],[FEET5]]/5280</f>
        <v>0.74734848484848482</v>
      </c>
      <c r="I54" s="24">
        <v>3946</v>
      </c>
      <c r="J54" s="28">
        <f>Table378[[#This Row],[FEET7]]/5280</f>
        <v>3.0479166666666666</v>
      </c>
      <c r="K54" s="28">
        <v>16093</v>
      </c>
      <c r="L54" s="25">
        <f>Table378[[#This Row],[FEET9]]/5280</f>
        <v>0</v>
      </c>
      <c r="M54" s="15"/>
    </row>
    <row r="55" spans="1:13" ht="15.75" thickBot="1" x14ac:dyDescent="0.3">
      <c r="A55" s="26"/>
      <c r="B55" s="27" t="s">
        <v>10</v>
      </c>
      <c r="C55" s="27" t="s">
        <v>11</v>
      </c>
      <c r="D55" s="28"/>
      <c r="E55" s="29"/>
      <c r="F55" s="23">
        <f>Table378[[#This Row],[FEET3]]/5280</f>
        <v>3.9511363636363637</v>
      </c>
      <c r="G55" s="20">
        <v>20862</v>
      </c>
      <c r="H55" s="21">
        <f>Table378[[#This Row],[FEET5]]/5280</f>
        <v>0.21590909090909091</v>
      </c>
      <c r="I55" s="21">
        <v>1140</v>
      </c>
      <c r="J55" s="29">
        <f>Table378[[#This Row],[FEET7]]/5280</f>
        <v>4.2416666666666663</v>
      </c>
      <c r="K55" s="29">
        <v>22396</v>
      </c>
      <c r="L55" s="22">
        <f>Table378[[#This Row],[FEET9]]/5280</f>
        <v>0</v>
      </c>
      <c r="M55" s="13"/>
    </row>
    <row r="56" spans="1:13" ht="15.75" thickBot="1" x14ac:dyDescent="0.3">
      <c r="A56" s="26"/>
      <c r="B56" s="27" t="s">
        <v>9</v>
      </c>
      <c r="C56" s="27" t="s">
        <v>57</v>
      </c>
      <c r="D56" s="28"/>
      <c r="E56" s="29"/>
      <c r="F56" s="23">
        <f>Table378[[#This Row],[FEET3]]/5280</f>
        <v>10.137499999999999</v>
      </c>
      <c r="G56" s="20">
        <v>53526</v>
      </c>
      <c r="H56" s="21">
        <f>Table378[[#This Row],[FEET5]]/5280</f>
        <v>5.9659090909090912E-2</v>
      </c>
      <c r="I56" s="21">
        <v>315</v>
      </c>
      <c r="J56" s="29">
        <f>Table378[[#This Row],[FEET7]]/5280</f>
        <v>7.1820075757575754</v>
      </c>
      <c r="K56" s="29">
        <v>37921</v>
      </c>
      <c r="L56" s="22">
        <f>Table378[[#This Row],[FEET9]]/5280</f>
        <v>0.41780303030303029</v>
      </c>
      <c r="M56" s="13">
        <v>2206</v>
      </c>
    </row>
    <row r="57" spans="1:13" ht="15.75" thickBot="1" x14ac:dyDescent="0.3">
      <c r="A57" s="34"/>
      <c r="B57" s="31" t="s">
        <v>66</v>
      </c>
      <c r="C57" s="31" t="s">
        <v>249</v>
      </c>
      <c r="D57" s="28"/>
      <c r="E57" s="28"/>
      <c r="F57" s="23">
        <f>Table378[[#This Row],[FEET3]]/5280</f>
        <v>0.41022727272727272</v>
      </c>
      <c r="G57" s="23">
        <v>2166</v>
      </c>
      <c r="H57" s="24">
        <f>Table378[[#This Row],[FEET5]]/5280</f>
        <v>0.22405303030303031</v>
      </c>
      <c r="I57" s="24">
        <v>1183</v>
      </c>
      <c r="J57" s="28">
        <f>Table378[[#This Row],[FEET7]]/5280</f>
        <v>1.9867424242424243</v>
      </c>
      <c r="K57" s="28">
        <v>10490</v>
      </c>
      <c r="L57" s="25">
        <f>Table378[[#This Row],[FEET9]]/5280</f>
        <v>0</v>
      </c>
      <c r="M57" s="15"/>
    </row>
    <row r="58" spans="1:13" ht="15.75" thickBot="1" x14ac:dyDescent="0.3">
      <c r="A58" s="30"/>
      <c r="B58" s="31" t="s">
        <v>116</v>
      </c>
      <c r="C58" s="31" t="s">
        <v>144</v>
      </c>
      <c r="D58" s="28"/>
      <c r="E58" s="28"/>
      <c r="F58" s="23">
        <f>Table378[[#This Row],[FEET3]]/5280</f>
        <v>3.7886363636363636</v>
      </c>
      <c r="G58" s="23">
        <v>20004</v>
      </c>
      <c r="H58" s="24">
        <f>Table378[[#This Row],[FEET5]]/5280</f>
        <v>0</v>
      </c>
      <c r="I58" s="24"/>
      <c r="J58" s="28">
        <f>Table378[[#This Row],[FEET7]]/5280</f>
        <v>2.8655303030303032</v>
      </c>
      <c r="K58" s="28">
        <v>15130</v>
      </c>
      <c r="L58" s="25">
        <f>Table378[[#This Row],[FEET9]]/5280</f>
        <v>0</v>
      </c>
      <c r="M58" s="15"/>
    </row>
    <row r="59" spans="1:13" ht="15.75" thickBot="1" x14ac:dyDescent="0.3">
      <c r="A59" s="30"/>
      <c r="B59" s="31" t="s">
        <v>112</v>
      </c>
      <c r="C59" s="31" t="s">
        <v>111</v>
      </c>
      <c r="D59" s="28"/>
      <c r="E59" s="28"/>
      <c r="F59" s="23">
        <f>Table378[[#This Row],[FEET3]]/5280</f>
        <v>2.3367424242424244</v>
      </c>
      <c r="G59" s="23">
        <f>377+710+253+(2*743)+(2*4756)</f>
        <v>12338</v>
      </c>
      <c r="H59" s="24">
        <f>Table378[[#This Row],[FEET5]]/5280</f>
        <v>0.5035984848484848</v>
      </c>
      <c r="I59" s="24">
        <f>377+253+472+710+847</f>
        <v>2659</v>
      </c>
      <c r="J59" s="28">
        <f>Table378[[#This Row],[FEET7]]/5280</f>
        <v>3.4219696969696969</v>
      </c>
      <c r="K59" s="28">
        <f>2022+471+493+278+300+410+1330+350+1560+(2*5227)+400</f>
        <v>18068</v>
      </c>
      <c r="L59" s="25">
        <f>Table378[[#This Row],[FEET9]]/5280</f>
        <v>0.47689393939393937</v>
      </c>
      <c r="M59" s="15">
        <f>535+772+1001+210</f>
        <v>2518</v>
      </c>
    </row>
    <row r="60" spans="1:13" ht="15.75" thickBot="1" x14ac:dyDescent="0.3">
      <c r="A60" s="26"/>
      <c r="B60" s="27" t="s">
        <v>112</v>
      </c>
      <c r="C60" s="27" t="s">
        <v>244</v>
      </c>
      <c r="D60" s="28"/>
      <c r="E60" s="29"/>
      <c r="F60" s="23">
        <f>Table378[[#This Row],[FEET3]]/5280</f>
        <v>0.61931818181818177</v>
      </c>
      <c r="G60" s="20">
        <f>1651+357+122+570+570</f>
        <v>3270</v>
      </c>
      <c r="H60" s="21">
        <f>Table378[[#This Row],[FEET5]]/5280</f>
        <v>0.40435606060606061</v>
      </c>
      <c r="I60" s="21">
        <f>357+1656+122</f>
        <v>2135</v>
      </c>
      <c r="J60" s="29">
        <f>Table378[[#This Row],[FEET7]]/5280</f>
        <v>1.3005681818181818</v>
      </c>
      <c r="K60" s="29">
        <f>3193+3193+481</f>
        <v>6867</v>
      </c>
      <c r="L60" s="22">
        <f>Table378[[#This Row],[FEET9]]/5280</f>
        <v>0</v>
      </c>
      <c r="M60" s="13"/>
    </row>
    <row r="61" spans="1:13" ht="15.75" thickBot="1" x14ac:dyDescent="0.3">
      <c r="A61" s="30"/>
      <c r="B61" s="31" t="s">
        <v>5</v>
      </c>
      <c r="C61" s="31" t="s">
        <v>146</v>
      </c>
      <c r="D61" s="28"/>
      <c r="E61" s="28"/>
      <c r="F61" s="23">
        <f>Table378[[#This Row],[FEET3]]/5280</f>
        <v>1.6285984848484849</v>
      </c>
      <c r="G61" s="23">
        <v>8599</v>
      </c>
      <c r="H61" s="24">
        <f>Table378[[#This Row],[FEET5]]/5280</f>
        <v>8.7121212121212127E-2</v>
      </c>
      <c r="I61" s="24">
        <v>460</v>
      </c>
      <c r="J61" s="28">
        <f>Table378[[#This Row],[FEET7]]/5280</f>
        <v>2.103787878787879</v>
      </c>
      <c r="K61" s="28">
        <v>11108</v>
      </c>
      <c r="L61" s="25">
        <f>Table378[[#This Row],[FEET9]]/5280</f>
        <v>0</v>
      </c>
      <c r="M61" s="15"/>
    </row>
    <row r="62" spans="1:13" ht="15.75" thickBot="1" x14ac:dyDescent="0.3">
      <c r="A62" s="26"/>
      <c r="B62" s="27" t="s">
        <v>119</v>
      </c>
      <c r="C62" s="27" t="s">
        <v>228</v>
      </c>
      <c r="D62" s="28"/>
      <c r="E62" s="29"/>
      <c r="F62" s="23">
        <f>Table378[[#This Row],[FEET3]]/5280</f>
        <v>2.509280303030303</v>
      </c>
      <c r="G62" s="20">
        <f>(5966*2)+824+493</f>
        <v>13249</v>
      </c>
      <c r="H62" s="21">
        <f>Table378[[#This Row],[FEET5]]/5280</f>
        <v>0.2662878787878788</v>
      </c>
      <c r="I62" s="21">
        <f>493+913</f>
        <v>1406</v>
      </c>
      <c r="J62" s="29">
        <f>Table378[[#This Row],[FEET7]]/5280</f>
        <v>1.7613636363636363E-2</v>
      </c>
      <c r="K62" s="29">
        <v>93</v>
      </c>
      <c r="L62" s="22">
        <f>Table378[[#This Row],[FEET9]]/5280</f>
        <v>0</v>
      </c>
      <c r="M62" s="13"/>
    </row>
    <row r="63" spans="1:13" ht="15.75" thickBot="1" x14ac:dyDescent="0.3">
      <c r="A63" s="30"/>
      <c r="B63" s="8" t="s">
        <v>16</v>
      </c>
      <c r="C63" s="31" t="s">
        <v>210</v>
      </c>
      <c r="D63" s="28"/>
      <c r="E63" s="28"/>
      <c r="F63" s="23">
        <f>Table378[[#This Row],[FEET3]]/5280</f>
        <v>0.3443181818181818</v>
      </c>
      <c r="G63" s="23">
        <v>1818</v>
      </c>
      <c r="H63" s="24">
        <f>Table378[[#This Row],[FEET5]]/5280</f>
        <v>0</v>
      </c>
      <c r="I63" s="24"/>
      <c r="J63" s="28">
        <f>Table378[[#This Row],[FEET7]]/5280</f>
        <v>0</v>
      </c>
      <c r="K63" s="28"/>
      <c r="L63" s="25">
        <f>Table378[[#This Row],[FEET9]]/5280</f>
        <v>0</v>
      </c>
      <c r="M63" s="15"/>
    </row>
    <row r="64" spans="1:13" ht="15.75" thickBot="1" x14ac:dyDescent="0.3">
      <c r="A64" s="30"/>
      <c r="B64" s="8" t="s">
        <v>147</v>
      </c>
      <c r="C64" s="8" t="s">
        <v>148</v>
      </c>
      <c r="D64" s="28"/>
      <c r="E64" s="28"/>
      <c r="F64" s="23">
        <f>Table378[[#This Row],[FEET3]]/5280</f>
        <v>0.90833333333333333</v>
      </c>
      <c r="G64" s="23">
        <v>4796</v>
      </c>
      <c r="H64" s="24">
        <f>Table378[[#This Row],[FEET5]]/5280</f>
        <v>0</v>
      </c>
      <c r="I64" s="24"/>
      <c r="J64" s="28">
        <f>Table378[[#This Row],[FEET7]]/5280</f>
        <v>1.1229166666666666</v>
      </c>
      <c r="K64" s="28">
        <f>(1835*2)+223+2036</f>
        <v>5929</v>
      </c>
      <c r="L64" s="25">
        <f>Table378[[#This Row],[FEET9]]/5280</f>
        <v>0</v>
      </c>
      <c r="M64" s="15"/>
    </row>
    <row r="65" spans="1:13" ht="15.75" thickBot="1" x14ac:dyDescent="0.3">
      <c r="A65" s="26"/>
      <c r="B65" s="33" t="s">
        <v>147</v>
      </c>
      <c r="C65" s="33" t="s">
        <v>149</v>
      </c>
      <c r="D65" s="28"/>
      <c r="E65" s="29"/>
      <c r="F65" s="23">
        <f>Table378[[#This Row],[FEET3]]/5280</f>
        <v>2.4643939393939394</v>
      </c>
      <c r="G65" s="20">
        <f>(2*944)+(2*353)+(2*661)+(2*4497)+(102)</f>
        <v>13012</v>
      </c>
      <c r="H65" s="21">
        <f>Table378[[#This Row],[FEET5]]/5280</f>
        <v>0</v>
      </c>
      <c r="I65" s="21"/>
      <c r="J65" s="29">
        <f>Table378[[#This Row],[FEET7]]/5280</f>
        <v>1.218560606060606</v>
      </c>
      <c r="K65" s="29">
        <f>251+115+102+5966</f>
        <v>6434</v>
      </c>
      <c r="L65" s="22">
        <f>Table378[[#This Row],[FEET9]]/5280</f>
        <v>0</v>
      </c>
      <c r="M65" s="13"/>
    </row>
    <row r="66" spans="1:13" ht="15.75" thickBot="1" x14ac:dyDescent="0.3">
      <c r="A66" s="30"/>
      <c r="B66" s="31" t="s">
        <v>151</v>
      </c>
      <c r="C66" s="31" t="s">
        <v>15</v>
      </c>
      <c r="D66" s="28"/>
      <c r="E66" s="28"/>
      <c r="F66" s="23">
        <f>Table378[[#This Row],[FEET3]]/5280</f>
        <v>1.4407196969696969</v>
      </c>
      <c r="G66" s="23">
        <v>7607</v>
      </c>
      <c r="H66" s="24">
        <f>Table378[[#This Row],[FEET5]]/5280</f>
        <v>0.11590909090909091</v>
      </c>
      <c r="I66" s="24">
        <v>612</v>
      </c>
      <c r="J66" s="28">
        <f>Table378[[#This Row],[FEET7]]/5280</f>
        <v>0</v>
      </c>
      <c r="K66" s="28"/>
      <c r="L66" s="25">
        <f>Table378[[#This Row],[FEET9]]/5280</f>
        <v>0.18200757575757576</v>
      </c>
      <c r="M66" s="15">
        <v>961</v>
      </c>
    </row>
    <row r="67" spans="1:13" ht="15.75" thickBot="1" x14ac:dyDescent="0.3">
      <c r="A67" s="26"/>
      <c r="B67" s="27" t="s">
        <v>13</v>
      </c>
      <c r="C67" s="27" t="s">
        <v>92</v>
      </c>
      <c r="D67" s="28"/>
      <c r="E67" s="29"/>
      <c r="F67" s="23">
        <f>Table378[[#This Row],[FEET3]]/5280</f>
        <v>0.77007575757575752</v>
      </c>
      <c r="G67" s="20">
        <v>4066</v>
      </c>
      <c r="H67" s="21">
        <f>Table378[[#This Row],[FEET5]]/5280</f>
        <v>0</v>
      </c>
      <c r="I67" s="21"/>
      <c r="J67" s="29">
        <f>Table378[[#This Row],[FEET7]]/5280</f>
        <v>0.59924242424242424</v>
      </c>
      <c r="K67" s="29">
        <v>3164</v>
      </c>
      <c r="L67" s="22">
        <f>Table378[[#This Row],[FEET9]]/5280</f>
        <v>0</v>
      </c>
      <c r="M67" s="13"/>
    </row>
    <row r="68" spans="1:13" ht="15.75" thickBot="1" x14ac:dyDescent="0.3">
      <c r="A68" s="30"/>
      <c r="B68" s="31" t="s">
        <v>70</v>
      </c>
      <c r="C68" s="31" t="s">
        <v>140</v>
      </c>
      <c r="D68" s="28"/>
      <c r="E68" s="28"/>
      <c r="F68" s="23">
        <f>Table378[[#This Row],[FEET3]]/5280</f>
        <v>0.33799242424242421</v>
      </c>
      <c r="G68" s="23">
        <v>1784.6</v>
      </c>
      <c r="H68" s="24">
        <f>Table378[[#This Row],[FEET5]]/5280</f>
        <v>0</v>
      </c>
      <c r="I68" s="24"/>
      <c r="J68" s="28">
        <f>Table378[[#This Row],[FEET7]]/5280</f>
        <v>0.45198863636363634</v>
      </c>
      <c r="K68" s="28">
        <v>2386.5</v>
      </c>
      <c r="L68" s="25">
        <f>Table378[[#This Row],[FEET9]]/5280</f>
        <v>0</v>
      </c>
      <c r="M68" s="15"/>
    </row>
    <row r="69" spans="1:13" ht="15.75" thickBot="1" x14ac:dyDescent="0.3">
      <c r="A69" s="30"/>
      <c r="B69" s="31" t="s">
        <v>143</v>
      </c>
      <c r="C69" s="31" t="s">
        <v>88</v>
      </c>
      <c r="D69" s="28"/>
      <c r="E69" s="28"/>
      <c r="F69" s="23">
        <f>Table378[[#This Row],[FEET3]]/5280</f>
        <v>5.3292424242424241</v>
      </c>
      <c r="G69" s="23">
        <v>28138.400000000001</v>
      </c>
      <c r="H69" s="24">
        <f>Table378[[#This Row],[FEET5]]/5280</f>
        <v>0.48028409090909091</v>
      </c>
      <c r="I69" s="24">
        <v>2535.9</v>
      </c>
      <c r="J69" s="28">
        <f>Table378[[#This Row],[FEET7]]/5280</f>
        <v>7.5128787878787877</v>
      </c>
      <c r="K69" s="28">
        <v>39668</v>
      </c>
      <c r="L69" s="25">
        <f>Table378[[#This Row],[FEET9]]/5280</f>
        <v>0</v>
      </c>
      <c r="M69" s="15"/>
    </row>
    <row r="70" spans="1:13" ht="15.75" thickBot="1" x14ac:dyDescent="0.3">
      <c r="A70" s="30"/>
      <c r="B70" s="27" t="s">
        <v>116</v>
      </c>
      <c r="C70" s="27" t="s">
        <v>227</v>
      </c>
      <c r="D70" s="28"/>
      <c r="E70" s="29"/>
      <c r="F70" s="23">
        <f>Table378[[#This Row],[FEET3]]/5280</f>
        <v>0.26874999999999999</v>
      </c>
      <c r="G70" s="20">
        <v>1419</v>
      </c>
      <c r="H70" s="21">
        <f>Table378[[#This Row],[FEET5]]/5280</f>
        <v>0</v>
      </c>
      <c r="I70" s="21"/>
      <c r="J70" s="29">
        <f>Table378[[#This Row],[FEET7]]/5280</f>
        <v>0.31022727272727274</v>
      </c>
      <c r="K70" s="29">
        <v>1638</v>
      </c>
      <c r="L70" s="25">
        <f>Table378[[#This Row],[FEET9]]/5280</f>
        <v>0</v>
      </c>
      <c r="M70" s="15"/>
    </row>
    <row r="71" spans="1:13" ht="15.75" thickBot="1" x14ac:dyDescent="0.3">
      <c r="A71" s="30"/>
      <c r="B71" s="27" t="s">
        <v>118</v>
      </c>
      <c r="C71" s="27" t="s">
        <v>145</v>
      </c>
      <c r="D71" s="29"/>
      <c r="E71" s="29"/>
      <c r="F71" s="20">
        <f>Table378[[#This Row],[FEET3]]/5280</f>
        <v>1.9416666666666667</v>
      </c>
      <c r="G71" s="20">
        <f>(1216*2)+274+590+1062+518+(2*2688)</f>
        <v>10252</v>
      </c>
      <c r="H71" s="21">
        <f>Table378[[#This Row],[FEET5]]/5280</f>
        <v>0.41041666666666665</v>
      </c>
      <c r="I71" s="21">
        <f>518+587+1062</f>
        <v>2167</v>
      </c>
      <c r="J71" s="29">
        <f>Table378[[#This Row],[FEET7]]/5280</f>
        <v>2.5253787878787879</v>
      </c>
      <c r="K71" s="29">
        <f>(6547*2)+240</f>
        <v>13334</v>
      </c>
      <c r="L71" s="25">
        <f>Table378[[#This Row],[FEET9]]/5280</f>
        <v>0</v>
      </c>
      <c r="M71" s="15"/>
    </row>
    <row r="72" spans="1:13" ht="15.75" thickBot="1" x14ac:dyDescent="0.3">
      <c r="A72" s="30"/>
      <c r="B72" s="27" t="s">
        <v>16</v>
      </c>
      <c r="C72" s="27" t="s">
        <v>211</v>
      </c>
      <c r="D72" s="28"/>
      <c r="E72" s="29"/>
      <c r="F72" s="23">
        <f>Table378[[#This Row],[FEET3]]/5280</f>
        <v>5.2441287878787879</v>
      </c>
      <c r="G72" s="20">
        <f>(2*504)+(1422*2)+310+526+(569*2)+1356+(465*2)+(1983*2)+421+351+(1751*2)+481+456+(530*2)+618+1650+(461*2)+(2740*2)+670</f>
        <v>27689</v>
      </c>
      <c r="H72" s="21">
        <f>Table378[[#This Row],[FEET5]]/5280</f>
        <v>2.5102272727272728</v>
      </c>
      <c r="I72" s="21">
        <f>310+1526+526+2628+1356+421+1089+351+481+459+456+618+213+1650+1170</f>
        <v>13254</v>
      </c>
      <c r="J72" s="29">
        <f>Table378[[#This Row],[FEET7]]/5280</f>
        <v>0</v>
      </c>
      <c r="K72" s="29"/>
      <c r="L72" s="25">
        <f>Table378[[#This Row],[FEET9]]/5280</f>
        <v>0</v>
      </c>
      <c r="M72" s="15"/>
    </row>
    <row r="73" spans="1:13" ht="15.75" thickBot="1" x14ac:dyDescent="0.3">
      <c r="A73" s="30"/>
      <c r="B73" s="8" t="s">
        <v>147</v>
      </c>
      <c r="C73" s="8" t="s">
        <v>264</v>
      </c>
      <c r="D73" s="28"/>
      <c r="E73" s="28"/>
      <c r="F73" s="23">
        <f>Table378[[#This Row],[FEET3]]/5280</f>
        <v>0.13390151515151516</v>
      </c>
      <c r="G73" s="23">
        <f>110+597</f>
        <v>707</v>
      </c>
      <c r="H73" s="24">
        <f>Table378[[#This Row],[FEET5]]/5280</f>
        <v>0</v>
      </c>
      <c r="I73" s="24"/>
      <c r="J73" s="28">
        <f>Table378[[#This Row],[FEET7]]/5280</f>
        <v>0.32064393939393937</v>
      </c>
      <c r="K73" s="28">
        <f>108+91+113+657+724</f>
        <v>1693</v>
      </c>
      <c r="L73" s="25">
        <f>Table378[[#This Row],[FEET9]]/5280</f>
        <v>0</v>
      </c>
      <c r="M73" s="15"/>
    </row>
    <row r="74" spans="1:13" ht="15.75" thickBot="1" x14ac:dyDescent="0.3">
      <c r="A74" s="30"/>
      <c r="B74" s="27" t="s">
        <v>147</v>
      </c>
      <c r="C74" s="27" t="s">
        <v>150</v>
      </c>
      <c r="D74" s="28"/>
      <c r="E74" s="29"/>
      <c r="F74" s="23">
        <f>Table378[[#This Row],[FEET3]]/5280</f>
        <v>8.5833333333333339</v>
      </c>
      <c r="G74" s="20">
        <v>45320</v>
      </c>
      <c r="H74" s="21">
        <f>Table378[[#This Row],[FEET5]]/5280</f>
        <v>0.72253787878787878</v>
      </c>
      <c r="I74" s="21">
        <v>3815</v>
      </c>
      <c r="J74" s="29">
        <f>Table378[[#This Row],[FEET7]]/5280</f>
        <v>2.0425094696969697</v>
      </c>
      <c r="K74" s="29">
        <v>10784.45</v>
      </c>
      <c r="L74" s="25">
        <f>Table378[[#This Row],[FEET9]]/5280</f>
        <v>0</v>
      </c>
      <c r="M74" s="15"/>
    </row>
    <row r="75" spans="1:13" ht="15.75" thickBot="1" x14ac:dyDescent="0.3">
      <c r="A75" s="30"/>
      <c r="B75" s="31" t="s">
        <v>32</v>
      </c>
      <c r="C75" s="31" t="s">
        <v>152</v>
      </c>
      <c r="D75" s="28"/>
      <c r="E75" s="28"/>
      <c r="F75" s="23">
        <f>Table378[[#This Row],[FEET3]]/5280</f>
        <v>1.6954545454545455</v>
      </c>
      <c r="G75" s="23">
        <v>8952</v>
      </c>
      <c r="H75" s="24">
        <f>Table378[[#This Row],[FEET5]]/5280</f>
        <v>0</v>
      </c>
      <c r="I75" s="24"/>
      <c r="J75" s="28">
        <f>Table378[[#This Row],[FEET7]]/5280</f>
        <v>1.89375</v>
      </c>
      <c r="K75" s="28">
        <v>9999</v>
      </c>
      <c r="L75" s="25">
        <f>Table378[[#This Row],[FEET9]]/5280</f>
        <v>0.19200757575757574</v>
      </c>
      <c r="M75" s="15">
        <v>1013.8</v>
      </c>
    </row>
    <row r="76" spans="1:13" ht="15.75" thickBot="1" x14ac:dyDescent="0.3">
      <c r="A76" s="26"/>
      <c r="B76" s="27" t="s">
        <v>67</v>
      </c>
      <c r="C76" s="27" t="s">
        <v>229</v>
      </c>
      <c r="D76" s="28"/>
      <c r="E76" s="29"/>
      <c r="F76" s="23">
        <f>Table378[[#This Row],[FEET3]]/5280</f>
        <v>0.74695075757575757</v>
      </c>
      <c r="G76" s="20">
        <v>3943.9</v>
      </c>
      <c r="H76" s="21">
        <f>Table378[[#This Row],[FEET5]]/5280</f>
        <v>0</v>
      </c>
      <c r="I76" s="21"/>
      <c r="J76" s="29">
        <f>Table378[[#This Row],[FEET7]]/5280</f>
        <v>1.1174810606060606</v>
      </c>
      <c r="K76" s="29">
        <v>5900.3</v>
      </c>
      <c r="L76" s="22">
        <f>Table378[[#This Row],[FEET9]]/5280</f>
        <v>0.20037878787878788</v>
      </c>
      <c r="M76" s="13">
        <v>1058</v>
      </c>
    </row>
    <row r="77" spans="1:13" ht="15.75" thickBot="1" x14ac:dyDescent="0.3">
      <c r="A77" s="30"/>
      <c r="B77" s="31" t="s">
        <v>68</v>
      </c>
      <c r="C77" s="31" t="s">
        <v>229</v>
      </c>
      <c r="D77" s="28"/>
      <c r="E77" s="28"/>
      <c r="F77" s="23">
        <f>Table378[[#This Row],[FEET3]]/5280</f>
        <v>0.70297348484848476</v>
      </c>
      <c r="G77" s="23">
        <v>3711.7</v>
      </c>
      <c r="H77" s="24">
        <f>Table378[[#This Row],[FEET5]]/5280</f>
        <v>0</v>
      </c>
      <c r="I77" s="24"/>
      <c r="J77" s="28">
        <f>Table378[[#This Row],[FEET7]]/5280</f>
        <v>0.91452651515151506</v>
      </c>
      <c r="K77" s="28">
        <v>4828.7</v>
      </c>
      <c r="L77" s="25">
        <f>Table378[[#This Row],[FEET9]]/5280</f>
        <v>0.20037878787878788</v>
      </c>
      <c r="M77" s="15">
        <v>1058</v>
      </c>
    </row>
    <row r="78" spans="1:13" ht="15.75" thickBot="1" x14ac:dyDescent="0.3">
      <c r="A78" s="26"/>
      <c r="B78" s="27" t="s">
        <v>68</v>
      </c>
      <c r="C78" s="27" t="s">
        <v>14</v>
      </c>
      <c r="D78" s="28"/>
      <c r="E78" s="29"/>
      <c r="F78" s="23">
        <f>Table378[[#This Row],[FEET3]]/5280</f>
        <v>3.3000189393939392</v>
      </c>
      <c r="G78" s="20">
        <v>17424.099999999999</v>
      </c>
      <c r="H78" s="21">
        <f>Table378[[#This Row],[FEET5]]/5280</f>
        <v>0</v>
      </c>
      <c r="I78" s="21"/>
      <c r="J78" s="29">
        <f>Table378[[#This Row],[FEET7]]/5280</f>
        <v>0</v>
      </c>
      <c r="K78" s="29"/>
      <c r="L78" s="22">
        <f>Table378[[#This Row],[FEET9]]/5280</f>
        <v>0.89376893939393942</v>
      </c>
      <c r="M78" s="13">
        <v>4719.1000000000004</v>
      </c>
    </row>
    <row r="79" spans="1:13" ht="15.75" thickBot="1" x14ac:dyDescent="0.3">
      <c r="A79" s="30"/>
      <c r="B79" s="31" t="s">
        <v>67</v>
      </c>
      <c r="C79" s="31" t="s">
        <v>14</v>
      </c>
      <c r="D79" s="28"/>
      <c r="E79" s="28"/>
      <c r="F79" s="23">
        <f>Table378[[#This Row],[FEET3]]/5280</f>
        <v>3.5050000000000003</v>
      </c>
      <c r="G79" s="23">
        <v>18506.400000000001</v>
      </c>
      <c r="H79" s="24">
        <f>Table378[[#This Row],[FEET5]]/5280</f>
        <v>3.9204545454545457E-2</v>
      </c>
      <c r="I79" s="24">
        <v>207</v>
      </c>
      <c r="J79" s="28">
        <f>Table378[[#This Row],[FEET7]]/5280</f>
        <v>9.9674621212121206</v>
      </c>
      <c r="K79" s="28">
        <v>52628.2</v>
      </c>
      <c r="L79" s="25">
        <f>Table378[[#This Row],[FEET9]]/5280</f>
        <v>0.90323863636363644</v>
      </c>
      <c r="M79" s="15">
        <v>4769.1000000000004</v>
      </c>
    </row>
    <row r="80" spans="1:13" ht="15.75" thickBot="1" x14ac:dyDescent="0.3">
      <c r="A80" s="5" t="s">
        <v>230</v>
      </c>
      <c r="B80" s="5"/>
      <c r="C80" s="5"/>
      <c r="D80" s="6"/>
      <c r="E80" s="7"/>
      <c r="F80" s="9">
        <f>Table378[[#This Row],[FEET3]]/5280</f>
        <v>0</v>
      </c>
      <c r="G80" s="10"/>
      <c r="H80" s="11">
        <f>Table378[[#This Row],[FEET5]]/5280</f>
        <v>0</v>
      </c>
      <c r="I80" s="12"/>
      <c r="J80" s="6">
        <f>Table378[[#This Row],[FEET7]]/5280</f>
        <v>0</v>
      </c>
      <c r="K80" s="7"/>
      <c r="L80" s="13">
        <f>Table378[[#This Row],[FEET9]]/5280</f>
        <v>0</v>
      </c>
      <c r="M80" s="14"/>
    </row>
    <row r="81" spans="1:13" ht="15.75" thickBot="1" x14ac:dyDescent="0.3">
      <c r="A81" s="26"/>
      <c r="B81" s="27" t="s">
        <v>71</v>
      </c>
      <c r="C81" s="27" t="s">
        <v>72</v>
      </c>
      <c r="D81" s="28"/>
      <c r="E81" s="29"/>
      <c r="F81" s="23">
        <f>Table378[[#This Row],[FEET3]]/5280</f>
        <v>2.927462121212121</v>
      </c>
      <c r="G81" s="20">
        <v>15457</v>
      </c>
      <c r="H81" s="21">
        <f>Table378[[#This Row],[FEET5]]/5280</f>
        <v>0.41950757575757575</v>
      </c>
      <c r="I81" s="21">
        <v>2215</v>
      </c>
      <c r="J81" s="29">
        <f>Table378[[#This Row],[FEET7]]/5280</f>
        <v>1.6094696969696969</v>
      </c>
      <c r="K81" s="29">
        <v>8498</v>
      </c>
      <c r="L81" s="22">
        <f>Table378[[#This Row],[FEET9]]/5280</f>
        <v>0</v>
      </c>
      <c r="M81" s="13"/>
    </row>
    <row r="82" spans="1:13" ht="15.75" thickBot="1" x14ac:dyDescent="0.3">
      <c r="A82" s="30"/>
      <c r="B82" s="31" t="s">
        <v>20</v>
      </c>
      <c r="C82" s="31" t="s">
        <v>212</v>
      </c>
      <c r="D82" s="28"/>
      <c r="E82" s="28"/>
      <c r="F82" s="23">
        <f>Table378[[#This Row],[FEET3]]/5280</f>
        <v>1.4257575757575758</v>
      </c>
      <c r="G82" s="23">
        <v>7528</v>
      </c>
      <c r="H82" s="24">
        <f>Table378[[#This Row],[FEET5]]/5280</f>
        <v>0</v>
      </c>
      <c r="I82" s="24"/>
      <c r="J82" s="28">
        <f>Table378[[#This Row],[FEET7]]/5280</f>
        <v>1.3693181818181819</v>
      </c>
      <c r="K82" s="28">
        <v>7230</v>
      </c>
      <c r="L82" s="25">
        <f>Table378[[#This Row],[FEET9]]/5280</f>
        <v>0</v>
      </c>
      <c r="M82" s="15"/>
    </row>
    <row r="83" spans="1:13" ht="15.75" thickBot="1" x14ac:dyDescent="0.3">
      <c r="A83" s="30"/>
      <c r="B83" s="31" t="s">
        <v>36</v>
      </c>
      <c r="C83" s="31" t="s">
        <v>153</v>
      </c>
      <c r="D83" s="28"/>
      <c r="E83" s="28"/>
      <c r="F83" s="23">
        <f>Table378[[#This Row],[FEET3]]/5280</f>
        <v>0.50530303030303025</v>
      </c>
      <c r="G83" s="23">
        <f>1334+1334</f>
        <v>2668</v>
      </c>
      <c r="H83" s="24">
        <f>Table378[[#This Row],[FEET5]]/5280</f>
        <v>0</v>
      </c>
      <c r="I83" s="24"/>
      <c r="J83" s="28">
        <f>Table378[[#This Row],[FEET7]]/5280</f>
        <v>0.50265151515151518</v>
      </c>
      <c r="K83" s="28">
        <f>1327+1327</f>
        <v>2654</v>
      </c>
      <c r="L83" s="25">
        <f>Table378[[#This Row],[FEET9]]/5280</f>
        <v>0</v>
      </c>
      <c r="M83" s="15"/>
    </row>
    <row r="84" spans="1:13" ht="15.75" thickBot="1" x14ac:dyDescent="0.3">
      <c r="A84" s="30"/>
      <c r="B84" s="27" t="s">
        <v>36</v>
      </c>
      <c r="C84" s="27" t="s">
        <v>65</v>
      </c>
      <c r="D84" s="28"/>
      <c r="E84" s="29"/>
      <c r="F84" s="23">
        <f>Table378[[#This Row],[FEET3]]/5280</f>
        <v>10.457954545454545</v>
      </c>
      <c r="G84" s="20">
        <v>55218</v>
      </c>
      <c r="H84" s="21">
        <f>Table378[[#This Row],[FEET5]]/5280</f>
        <v>0.75890151515151516</v>
      </c>
      <c r="I84" s="21">
        <v>4007</v>
      </c>
      <c r="J84" s="29">
        <f>Table378[[#This Row],[FEET7]]/5280</f>
        <v>5.8134469696969697</v>
      </c>
      <c r="K84" s="29">
        <v>30695</v>
      </c>
      <c r="L84" s="25">
        <f>Table378[[#This Row],[FEET9]]/5280</f>
        <v>0</v>
      </c>
      <c r="M84" s="15"/>
    </row>
    <row r="85" spans="1:13" ht="15.75" thickBot="1" x14ac:dyDescent="0.3">
      <c r="A85" s="30"/>
      <c r="B85" s="31" t="s">
        <v>135</v>
      </c>
      <c r="C85" s="31" t="s">
        <v>43</v>
      </c>
      <c r="D85" s="28"/>
      <c r="E85" s="28"/>
      <c r="F85" s="23">
        <f>Table378[[#This Row],[FEET3]]/5280</f>
        <v>12.288825757575758</v>
      </c>
      <c r="G85" s="23">
        <v>64885</v>
      </c>
      <c r="H85" s="24">
        <f>Table378[[#This Row],[FEET5]]/5280</f>
        <v>0.84318181818181814</v>
      </c>
      <c r="I85" s="24">
        <v>4452</v>
      </c>
      <c r="J85" s="28">
        <f>Table378[[#This Row],[FEET7]]/5280</f>
        <v>9.2092803030303028</v>
      </c>
      <c r="K85" s="28">
        <v>48625</v>
      </c>
      <c r="L85" s="25">
        <f>Table378[[#This Row],[FEET9]]/5280</f>
        <v>0</v>
      </c>
      <c r="M85" s="15"/>
    </row>
    <row r="86" spans="1:13" ht="15.75" thickBot="1" x14ac:dyDescent="0.3">
      <c r="A86" s="34"/>
      <c r="B86" s="31" t="s">
        <v>38</v>
      </c>
      <c r="C86" s="31" t="s">
        <v>96</v>
      </c>
      <c r="D86" s="28"/>
      <c r="E86" s="28"/>
      <c r="F86" s="23">
        <f>Table378[[#This Row],[FEET3]]/5280</f>
        <v>2.6916666666666669</v>
      </c>
      <c r="G86" s="23">
        <v>14212</v>
      </c>
      <c r="H86" s="24">
        <f>Table378[[#This Row],[FEET5]]/5280</f>
        <v>0.33731060606060603</v>
      </c>
      <c r="I86" s="24">
        <v>1781</v>
      </c>
      <c r="J86" s="28">
        <f>Table378[[#This Row],[FEET7]]/5280</f>
        <v>0.45193181818181816</v>
      </c>
      <c r="K86" s="28">
        <v>2386.1999999999998</v>
      </c>
      <c r="L86" s="25">
        <f>Table378[[#This Row],[FEET9]]/5280</f>
        <v>0</v>
      </c>
      <c r="M86" s="15"/>
    </row>
    <row r="87" spans="1:13" ht="15.75" thickBot="1" x14ac:dyDescent="0.3">
      <c r="A87" s="26"/>
      <c r="B87" s="66" t="s">
        <v>154</v>
      </c>
      <c r="C87" s="27" t="s">
        <v>270</v>
      </c>
      <c r="D87" s="29"/>
      <c r="E87" s="29"/>
      <c r="F87" s="20">
        <f>Table378[[#This Row],[FEET3]]/5280</f>
        <v>11.886174242424243</v>
      </c>
      <c r="G87" s="20">
        <f>29609+10560+22590</f>
        <v>62759</v>
      </c>
      <c r="H87" s="21">
        <f>Table378[[#This Row],[FEET5]]/5280</f>
        <v>0.18920454545454546</v>
      </c>
      <c r="I87" s="21">
        <v>999</v>
      </c>
      <c r="J87" s="29">
        <f>Table378[[#This Row],[FEET7]]/5280</f>
        <v>11.558522727272727</v>
      </c>
      <c r="K87" s="29">
        <f>27879+10560+22590</f>
        <v>61029</v>
      </c>
      <c r="L87" s="22">
        <f>Table378[[#This Row],[FEET9]]/5280</f>
        <v>4.1884469696969697</v>
      </c>
      <c r="M87" s="13">
        <f>13940+2640+5535</f>
        <v>22115</v>
      </c>
    </row>
    <row r="88" spans="1:13" ht="15.75" thickBot="1" x14ac:dyDescent="0.3">
      <c r="A88" s="5" t="s">
        <v>234</v>
      </c>
      <c r="B88" s="5"/>
      <c r="C88" s="5"/>
      <c r="D88" s="6"/>
      <c r="E88" s="7"/>
      <c r="F88" s="9">
        <f>Table378[[#This Row],[FEET3]]/5280</f>
        <v>0</v>
      </c>
      <c r="G88" s="10"/>
      <c r="H88" s="11">
        <f>Table378[[#This Row],[FEET5]]/5280</f>
        <v>0</v>
      </c>
      <c r="I88" s="12"/>
      <c r="J88" s="6">
        <f>Table378[[#This Row],[FEET7]]/5280</f>
        <v>0</v>
      </c>
      <c r="K88" s="7"/>
      <c r="L88" s="13">
        <f>Table378[[#This Row],[FEET9]]/5280</f>
        <v>0</v>
      </c>
      <c r="M88" s="14"/>
    </row>
    <row r="89" spans="1:13" ht="15.75" thickBot="1" x14ac:dyDescent="0.3">
      <c r="A89" s="26"/>
      <c r="B89" s="27" t="s">
        <v>138</v>
      </c>
      <c r="C89" s="27" t="s">
        <v>64</v>
      </c>
      <c r="D89" s="28"/>
      <c r="E89" s="29"/>
      <c r="F89" s="23">
        <f>Table378[[#This Row],[FEET3]]/5280</f>
        <v>5.8607954545454541</v>
      </c>
      <c r="G89" s="20">
        <v>30945</v>
      </c>
      <c r="H89" s="21">
        <f>Table378[[#This Row],[FEET5]]/5280</f>
        <v>0.48238636363636361</v>
      </c>
      <c r="I89" s="21">
        <v>2547</v>
      </c>
      <c r="J89" s="29">
        <f>Table378[[#This Row],[FEET7]]/5280</f>
        <v>0</v>
      </c>
      <c r="K89" s="29"/>
      <c r="L89" s="22">
        <f>Table378[[#This Row],[FEET9]]/5280</f>
        <v>0</v>
      </c>
      <c r="M89" s="13"/>
    </row>
    <row r="90" spans="1:13" ht="15.75" thickBot="1" x14ac:dyDescent="0.3">
      <c r="A90" s="26"/>
      <c r="B90" s="31" t="s">
        <v>10</v>
      </c>
      <c r="C90" s="31" t="s">
        <v>155</v>
      </c>
      <c r="D90" s="28"/>
      <c r="E90" s="28"/>
      <c r="F90" s="23">
        <f>Table378[[#This Row],[FEET3]]/5280</f>
        <v>0.59791666666666665</v>
      </c>
      <c r="G90" s="23">
        <v>3157</v>
      </c>
      <c r="H90" s="24">
        <f>Table378[[#This Row],[FEET5]]/5280</f>
        <v>0.23825757575757575</v>
      </c>
      <c r="I90" s="24">
        <v>1258</v>
      </c>
      <c r="J90" s="28">
        <f>Table378[[#This Row],[FEET7]]/5280</f>
        <v>0</v>
      </c>
      <c r="K90" s="28"/>
      <c r="L90" s="22">
        <f>Table378[[#This Row],[FEET9]]/5280</f>
        <v>0</v>
      </c>
      <c r="M90" s="13"/>
    </row>
    <row r="91" spans="1:13" ht="15.75" thickBot="1" x14ac:dyDescent="0.3">
      <c r="A91" s="26"/>
      <c r="B91" s="27" t="s">
        <v>156</v>
      </c>
      <c r="C91" s="27" t="s">
        <v>42</v>
      </c>
      <c r="D91" s="28"/>
      <c r="E91" s="29"/>
      <c r="F91" s="23">
        <f>Table378[[#This Row],[FEET3]]/5280</f>
        <v>5.425568181818182</v>
      </c>
      <c r="G91" s="20">
        <v>28647</v>
      </c>
      <c r="H91" s="21">
        <f>Table378[[#This Row],[FEET5]]/5280</f>
        <v>1.0208333333333333</v>
      </c>
      <c r="I91" s="21">
        <v>5390</v>
      </c>
      <c r="J91" s="29">
        <f>Table378[[#This Row],[FEET7]]/5280</f>
        <v>3.9393939393939391E-2</v>
      </c>
      <c r="K91" s="29">
        <v>208</v>
      </c>
      <c r="L91" s="22">
        <f>Table378[[#This Row],[FEET9]]/5280</f>
        <v>0</v>
      </c>
      <c r="M91" s="13"/>
    </row>
    <row r="92" spans="1:13" ht="15.75" thickBot="1" x14ac:dyDescent="0.3">
      <c r="A92" s="26"/>
      <c r="B92" s="31" t="s">
        <v>41</v>
      </c>
      <c r="C92" s="31" t="s">
        <v>108</v>
      </c>
      <c r="D92" s="28"/>
      <c r="E92" s="28"/>
      <c r="F92" s="23">
        <f>Table378[[#This Row],[FEET3]]/5280</f>
        <v>10.178030303030303</v>
      </c>
      <c r="G92" s="23">
        <f>16963+10254+20059+6464</f>
        <v>53740</v>
      </c>
      <c r="H92" s="24">
        <f>Table378[[#This Row],[FEET5]]/5280</f>
        <v>2.397348484848485</v>
      </c>
      <c r="I92" s="24">
        <f>2286+484+1764+8124</f>
        <v>12658</v>
      </c>
      <c r="J92" s="28">
        <f>Table378[[#This Row],[FEET7]]/5280</f>
        <v>0</v>
      </c>
      <c r="K92" s="28"/>
      <c r="L92" s="22">
        <f>Table378[[#This Row],[FEET9]]/5280</f>
        <v>0</v>
      </c>
      <c r="M92" s="13"/>
    </row>
    <row r="93" spans="1:13" ht="15.75" thickBot="1" x14ac:dyDescent="0.3">
      <c r="A93" s="26"/>
      <c r="B93" s="65" t="s">
        <v>36</v>
      </c>
      <c r="C93" s="31" t="s">
        <v>46</v>
      </c>
      <c r="D93" s="28"/>
      <c r="E93" s="28"/>
      <c r="F93" s="23">
        <f>Table378[[#This Row],[FEET3]]/5280</f>
        <v>0.51893939393939392</v>
      </c>
      <c r="G93" s="23">
        <v>2740</v>
      </c>
      <c r="H93" s="24">
        <f>Table378[[#This Row],[FEET5]]/5280</f>
        <v>0.21306818181818182</v>
      </c>
      <c r="I93" s="24">
        <v>1125</v>
      </c>
      <c r="J93" s="28">
        <f>Table378[[#This Row],[FEET7]]/5280</f>
        <v>1.9390151515151515</v>
      </c>
      <c r="K93" s="28">
        <v>10238</v>
      </c>
      <c r="L93" s="22">
        <f>Table378[[#This Row],[FEET9]]/5280</f>
        <v>0</v>
      </c>
      <c r="M93" s="13"/>
    </row>
    <row r="94" spans="1:13" ht="15.75" thickBot="1" x14ac:dyDescent="0.3">
      <c r="A94" s="26"/>
      <c r="B94" s="27" t="s">
        <v>147</v>
      </c>
      <c r="C94" s="27" t="s">
        <v>157</v>
      </c>
      <c r="D94" s="28"/>
      <c r="E94" s="29"/>
      <c r="F94" s="23">
        <f>Table378[[#This Row],[FEET3]]/5280</f>
        <v>0.98484848484848486</v>
      </c>
      <c r="G94" s="20">
        <v>5200</v>
      </c>
      <c r="H94" s="21">
        <f>Table378[[#This Row],[FEET5]]/5280</f>
        <v>0</v>
      </c>
      <c r="I94" s="21"/>
      <c r="J94" s="29">
        <f>Table378[[#This Row],[FEET7]]/5280</f>
        <v>0</v>
      </c>
      <c r="K94" s="29"/>
      <c r="L94" s="22">
        <f>Table378[[#This Row],[FEET9]]/5280</f>
        <v>0</v>
      </c>
      <c r="M94" s="13"/>
    </row>
    <row r="95" spans="1:13" ht="15.75" thickBot="1" x14ac:dyDescent="0.3">
      <c r="A95" s="5" t="s">
        <v>235</v>
      </c>
      <c r="B95" s="5"/>
      <c r="C95" s="5"/>
      <c r="D95" s="6"/>
      <c r="E95" s="7"/>
      <c r="F95" s="9">
        <f>Table378[[#This Row],[FEET3]]/5280</f>
        <v>0</v>
      </c>
      <c r="G95" s="10"/>
      <c r="H95" s="11">
        <f>Table378[[#This Row],[FEET5]]/5280</f>
        <v>0</v>
      </c>
      <c r="I95" s="12"/>
      <c r="J95" s="6">
        <f>Table378[[#This Row],[FEET7]]/5280</f>
        <v>0</v>
      </c>
      <c r="K95" s="7"/>
      <c r="L95" s="13">
        <f>Table378[[#This Row],[FEET9]]/5280</f>
        <v>0</v>
      </c>
      <c r="M95" s="14"/>
    </row>
    <row r="96" spans="1:13" ht="15.75" thickBot="1" x14ac:dyDescent="0.3">
      <c r="A96" s="30"/>
      <c r="B96" s="31" t="s">
        <v>44</v>
      </c>
      <c r="C96" s="31" t="s">
        <v>158</v>
      </c>
      <c r="D96" s="28"/>
      <c r="E96" s="28"/>
      <c r="F96" s="23">
        <f>Table378[[#This Row],[FEET3]]/5280</f>
        <v>0.19337121212121211</v>
      </c>
      <c r="G96" s="23">
        <v>1021</v>
      </c>
      <c r="H96" s="24">
        <f>Table378[[#This Row],[FEET5]]/5280</f>
        <v>5.4545454545454543E-2</v>
      </c>
      <c r="I96" s="24">
        <v>288</v>
      </c>
      <c r="J96" s="28">
        <f>Table378[[#This Row],[FEET7]]/5280</f>
        <v>0</v>
      </c>
      <c r="K96" s="28"/>
      <c r="L96" s="25">
        <f>Table378[[#This Row],[FEET9]]/5280</f>
        <v>0</v>
      </c>
      <c r="M96" s="15"/>
    </row>
    <row r="97" spans="1:13" ht="15.75" thickBot="1" x14ac:dyDescent="0.3">
      <c r="A97" s="34"/>
      <c r="B97" s="27" t="s">
        <v>159</v>
      </c>
      <c r="C97" s="27" t="s">
        <v>256</v>
      </c>
      <c r="D97" s="28"/>
      <c r="E97" s="29"/>
      <c r="F97" s="23">
        <f>Table378[[#This Row],[FEET3]]/5280</f>
        <v>10.346212121212121</v>
      </c>
      <c r="G97" s="20">
        <f>32031+22597</f>
        <v>54628</v>
      </c>
      <c r="H97" s="21">
        <f>Table378[[#This Row],[FEET5]]/5280</f>
        <v>0.32045454545454544</v>
      </c>
      <c r="I97" s="21">
        <v>1692</v>
      </c>
      <c r="J97" s="29">
        <f>Table378[[#This Row],[FEET7]]/5280</f>
        <v>1.0537878787878787</v>
      </c>
      <c r="K97" s="29">
        <v>5564</v>
      </c>
      <c r="L97" s="22">
        <f>Table378[[#This Row],[FEET9]]/5280</f>
        <v>0</v>
      </c>
      <c r="M97" s="13"/>
    </row>
    <row r="98" spans="1:13" ht="15.75" thickBot="1" x14ac:dyDescent="0.3">
      <c r="A98" s="34"/>
      <c r="B98" s="8" t="s">
        <v>159</v>
      </c>
      <c r="C98" s="31" t="s">
        <v>253</v>
      </c>
      <c r="D98" s="28"/>
      <c r="E98" s="28"/>
      <c r="F98" s="23">
        <f>Table378[[#This Row],[FEET3]]/5280</f>
        <v>1.012310606060606</v>
      </c>
      <c r="G98" s="23">
        <v>5345</v>
      </c>
      <c r="H98" s="24">
        <f>Table378[[#This Row],[FEET5]]/5280</f>
        <v>7.8598484848484848E-2</v>
      </c>
      <c r="I98" s="24">
        <v>415</v>
      </c>
      <c r="J98" s="28">
        <f>Table378[[#This Row],[FEET7]]/5280</f>
        <v>0</v>
      </c>
      <c r="K98" s="28"/>
      <c r="L98" s="25">
        <f>Table378[[#This Row],[FEET9]]/5280</f>
        <v>0</v>
      </c>
      <c r="M98" s="15"/>
    </row>
    <row r="99" spans="1:13" ht="15.75" thickBot="1" x14ac:dyDescent="0.3">
      <c r="A99" s="34"/>
      <c r="B99" s="8" t="s">
        <v>159</v>
      </c>
      <c r="C99" s="31" t="s">
        <v>252</v>
      </c>
      <c r="D99" s="28"/>
      <c r="E99" s="28"/>
      <c r="F99" s="23">
        <f>Table378[[#This Row],[FEET3]]/5280</f>
        <v>1.8159090909090909</v>
      </c>
      <c r="G99" s="23">
        <v>9588</v>
      </c>
      <c r="H99" s="24">
        <f>Table378[[#This Row],[FEET5]]/5280</f>
        <v>0.30606060606060603</v>
      </c>
      <c r="I99" s="24">
        <v>1616</v>
      </c>
      <c r="J99" s="28">
        <f>Table378[[#This Row],[FEET7]]/5280</f>
        <v>0</v>
      </c>
      <c r="K99" s="28"/>
      <c r="L99" s="25">
        <f>Table378[[#This Row],[FEET9]]/5280</f>
        <v>0</v>
      </c>
      <c r="M99" s="15"/>
    </row>
    <row r="100" spans="1:13" ht="15.75" thickBot="1" x14ac:dyDescent="0.3">
      <c r="A100" s="30"/>
      <c r="B100" s="27" t="s">
        <v>18</v>
      </c>
      <c r="C100" s="27" t="s">
        <v>58</v>
      </c>
      <c r="D100" s="28"/>
      <c r="E100" s="29"/>
      <c r="F100" s="23">
        <f>Table378[[#This Row],[FEET3]]/5280</f>
        <v>6.0946969696969697</v>
      </c>
      <c r="G100" s="20">
        <v>32180</v>
      </c>
      <c r="H100" s="21">
        <f>Table378[[#This Row],[FEET5]]/5280</f>
        <v>0.87272727272727268</v>
      </c>
      <c r="I100" s="21">
        <v>4608</v>
      </c>
      <c r="J100" s="29">
        <f>Table378[[#This Row],[FEET7]]/5280</f>
        <v>0</v>
      </c>
      <c r="K100" s="29"/>
      <c r="L100" s="22">
        <f>Table378[[#This Row],[FEET9]]/5280</f>
        <v>0</v>
      </c>
      <c r="M100" s="13"/>
    </row>
    <row r="101" spans="1:13" ht="15.75" thickBot="1" x14ac:dyDescent="0.3">
      <c r="A101" s="30"/>
      <c r="B101" s="31" t="s">
        <v>21</v>
      </c>
      <c r="C101" s="31" t="s">
        <v>23</v>
      </c>
      <c r="D101" s="28"/>
      <c r="E101" s="28"/>
      <c r="F101" s="23">
        <f>Table378[[#This Row],[FEET3]]/5280</f>
        <v>2.1140189393939393</v>
      </c>
      <c r="G101" s="23">
        <v>11162.02</v>
      </c>
      <c r="H101" s="24">
        <f>Table378[[#This Row],[FEET5]]/5280</f>
        <v>0.69325000000000003</v>
      </c>
      <c r="I101" s="24">
        <v>3660.36</v>
      </c>
      <c r="J101" s="28">
        <f>Table378[[#This Row],[FEET7]]/5280</f>
        <v>0</v>
      </c>
      <c r="K101" s="28"/>
      <c r="L101" s="25">
        <f>Table378[[#This Row],[FEET9]]/5280</f>
        <v>0</v>
      </c>
      <c r="M101" s="15"/>
    </row>
    <row r="102" spans="1:13" ht="15.75" thickBot="1" x14ac:dyDescent="0.3">
      <c r="A102" s="30"/>
      <c r="B102" s="27" t="s">
        <v>21</v>
      </c>
      <c r="C102" s="27" t="s">
        <v>84</v>
      </c>
      <c r="D102" s="28"/>
      <c r="E102" s="29"/>
      <c r="F102" s="23">
        <f>Table378[[#This Row],[FEET3]]/5280</f>
        <v>1.5761742424242426</v>
      </c>
      <c r="G102" s="20">
        <v>8322.2000000000007</v>
      </c>
      <c r="H102" s="21">
        <f>Table378[[#This Row],[FEET5]]/5280</f>
        <v>0</v>
      </c>
      <c r="I102" s="21"/>
      <c r="J102" s="29">
        <f>Table378[[#This Row],[FEET7]]/5280</f>
        <v>0</v>
      </c>
      <c r="K102" s="29"/>
      <c r="L102" s="22">
        <f>Table378[[#This Row],[FEET9]]/5280</f>
        <v>0</v>
      </c>
      <c r="M102" s="13"/>
    </row>
    <row r="103" spans="1:13" ht="15.75" thickBot="1" x14ac:dyDescent="0.3">
      <c r="A103" s="34"/>
      <c r="B103" s="8" t="s">
        <v>40</v>
      </c>
      <c r="C103" s="31" t="s">
        <v>91</v>
      </c>
      <c r="D103" s="28"/>
      <c r="E103" s="28"/>
      <c r="F103" s="23">
        <f>Table378[[#This Row],[FEET3]]/5280</f>
        <v>8.2482954545454543</v>
      </c>
      <c r="G103" s="23">
        <v>43551</v>
      </c>
      <c r="H103" s="24">
        <f>Table378[[#This Row],[FEET5]]/5280</f>
        <v>1.1049242424242425</v>
      </c>
      <c r="I103" s="24">
        <v>5834</v>
      </c>
      <c r="J103" s="28">
        <f>Table378[[#This Row],[FEET7]]/5280</f>
        <v>0</v>
      </c>
      <c r="K103" s="28"/>
      <c r="L103" s="25">
        <f>Table378[[#This Row],[FEET9]]/5280</f>
        <v>0</v>
      </c>
      <c r="M103" s="15"/>
    </row>
    <row r="104" spans="1:13" ht="15.75" thickBot="1" x14ac:dyDescent="0.3">
      <c r="A104" s="30"/>
      <c r="B104" s="8" t="s">
        <v>250</v>
      </c>
      <c r="C104" s="31" t="s">
        <v>59</v>
      </c>
      <c r="D104" s="28"/>
      <c r="E104" s="28"/>
      <c r="F104" s="23">
        <f>Table378[[#This Row],[FEET3]]/5280</f>
        <v>0.60511363636363635</v>
      </c>
      <c r="G104" s="23">
        <v>3195</v>
      </c>
      <c r="H104" s="24">
        <f>Table378[[#This Row],[FEET5]]/5280</f>
        <v>6.5340909090909088E-2</v>
      </c>
      <c r="I104" s="24">
        <v>345</v>
      </c>
      <c r="J104" s="28">
        <f>Table378[[#This Row],[FEET7]]/5280</f>
        <v>0</v>
      </c>
      <c r="K104" s="28"/>
      <c r="L104" s="25">
        <f>Table378[[#This Row],[FEET9]]/5280</f>
        <v>0</v>
      </c>
      <c r="M104" s="15"/>
    </row>
    <row r="105" spans="1:13" ht="15.75" thickBot="1" x14ac:dyDescent="0.3">
      <c r="A105" s="30"/>
      <c r="B105" s="27" t="s">
        <v>160</v>
      </c>
      <c r="C105" s="27" t="s">
        <v>213</v>
      </c>
      <c r="D105" s="28"/>
      <c r="E105" s="29"/>
      <c r="F105" s="23">
        <f>Table378[[#This Row],[FEET3]]/5280</f>
        <v>0.71742424242424241</v>
      </c>
      <c r="G105" s="20">
        <f>1680+1680+428</f>
        <v>3788</v>
      </c>
      <c r="H105" s="21">
        <f>Table378[[#This Row],[FEET5]]/5280</f>
        <v>0.57348484848484849</v>
      </c>
      <c r="I105" s="21">
        <f>428+1975+625</f>
        <v>3028</v>
      </c>
      <c r="J105" s="29">
        <f>Table378[[#This Row],[FEET7]]/5280</f>
        <v>0</v>
      </c>
      <c r="K105" s="29"/>
      <c r="L105" s="22">
        <f>Table378[[#This Row],[FEET9]]/5280</f>
        <v>0</v>
      </c>
      <c r="M105" s="13"/>
    </row>
    <row r="106" spans="1:13" ht="15.75" thickBot="1" x14ac:dyDescent="0.3">
      <c r="A106" s="30"/>
      <c r="B106" s="31" t="s">
        <v>161</v>
      </c>
      <c r="C106" s="31" t="s">
        <v>162</v>
      </c>
      <c r="D106" s="28"/>
      <c r="E106" s="28"/>
      <c r="F106" s="23">
        <f>Table378[[#This Row],[FEET3]]/5280</f>
        <v>1.875189393939394</v>
      </c>
      <c r="G106" s="23">
        <v>9901</v>
      </c>
      <c r="H106" s="24">
        <f>Table378[[#This Row],[FEET5]]/5280</f>
        <v>0.59223484848484853</v>
      </c>
      <c r="I106" s="24">
        <v>3127</v>
      </c>
      <c r="J106" s="28">
        <f>Table378[[#This Row],[FEET7]]/5280</f>
        <v>0</v>
      </c>
      <c r="K106" s="28"/>
      <c r="L106" s="25">
        <f>Table378[[#This Row],[FEET9]]/5280</f>
        <v>0</v>
      </c>
      <c r="M106" s="15"/>
    </row>
    <row r="107" spans="1:13" ht="15.75" thickBot="1" x14ac:dyDescent="0.3">
      <c r="A107" s="30"/>
      <c r="B107" s="27" t="s">
        <v>161</v>
      </c>
      <c r="C107" s="27" t="s">
        <v>163</v>
      </c>
      <c r="D107" s="28"/>
      <c r="E107" s="29"/>
      <c r="F107" s="23">
        <f>Table378[[#This Row],[FEET3]]/5280</f>
        <v>1.3560227272727272</v>
      </c>
      <c r="G107" s="20">
        <v>7159.8</v>
      </c>
      <c r="H107" s="21">
        <f>Table378[[#This Row],[FEET5]]/5280</f>
        <v>0</v>
      </c>
      <c r="I107" s="21"/>
      <c r="J107" s="29">
        <f>Table378[[#This Row],[FEET7]]/5280</f>
        <v>1.2820075757575757</v>
      </c>
      <c r="K107" s="29">
        <v>6769</v>
      </c>
      <c r="L107" s="22">
        <f>Table378[[#This Row],[FEET9]]/5280</f>
        <v>0</v>
      </c>
      <c r="M107" s="13"/>
    </row>
    <row r="108" spans="1:13" ht="15.75" thickBot="1" x14ac:dyDescent="0.3">
      <c r="A108" s="5" t="s">
        <v>236</v>
      </c>
      <c r="B108" s="5"/>
      <c r="C108" s="5"/>
      <c r="D108" s="6"/>
      <c r="E108" s="7"/>
      <c r="F108" s="9">
        <f>Table378[[#This Row],[FEET3]]/5280</f>
        <v>0</v>
      </c>
      <c r="G108" s="10"/>
      <c r="H108" s="11">
        <f>Table378[[#This Row],[FEET5]]/5280</f>
        <v>0</v>
      </c>
      <c r="I108" s="12"/>
      <c r="J108" s="6">
        <f>Table378[[#This Row],[FEET7]]/5280</f>
        <v>0</v>
      </c>
      <c r="K108" s="7"/>
      <c r="L108" s="13">
        <f>Table378[[#This Row],[FEET9]]/5280</f>
        <v>0</v>
      </c>
      <c r="M108" s="14"/>
    </row>
    <row r="109" spans="1:13" ht="15.75" thickBot="1" x14ac:dyDescent="0.3">
      <c r="A109" s="35"/>
      <c r="B109" s="31" t="s">
        <v>69</v>
      </c>
      <c r="C109" s="31" t="s">
        <v>164</v>
      </c>
      <c r="D109" s="28"/>
      <c r="E109" s="28"/>
      <c r="F109" s="23">
        <f>Table378[[#This Row],[FEET3]]/5280</f>
        <v>2.8406818181818179</v>
      </c>
      <c r="G109" s="23">
        <f>19338.8-4340</f>
        <v>14998.8</v>
      </c>
      <c r="H109" s="24">
        <f>Table378[[#This Row],[FEET5]]/5280</f>
        <v>9.0549242424242407E-2</v>
      </c>
      <c r="I109" s="24">
        <f>1574.1-1096</f>
        <v>478.09999999999991</v>
      </c>
      <c r="J109" s="28">
        <f>Table378[[#This Row],[FEET7]]/5280</f>
        <v>0</v>
      </c>
      <c r="K109" s="28"/>
      <c r="L109" s="25">
        <f>Table378[[#This Row],[FEET9]]/5280</f>
        <v>0</v>
      </c>
      <c r="M109" s="15"/>
    </row>
    <row r="110" spans="1:13" ht="15.75" thickBot="1" x14ac:dyDescent="0.3">
      <c r="A110" s="26"/>
      <c r="B110" s="27" t="s">
        <v>9</v>
      </c>
      <c r="C110" s="27" t="s">
        <v>214</v>
      </c>
      <c r="D110" s="28"/>
      <c r="E110" s="29"/>
      <c r="F110" s="23">
        <f>Table378[[#This Row],[FEET3]]/5280</f>
        <v>2.1053030303030305</v>
      </c>
      <c r="G110" s="20">
        <v>11116</v>
      </c>
      <c r="H110" s="21">
        <f>Table378[[#This Row],[FEET5]]/5280</f>
        <v>0.17386363636363636</v>
      </c>
      <c r="I110" s="21">
        <v>918</v>
      </c>
      <c r="J110" s="29">
        <f>Table378[[#This Row],[FEET7]]/5280</f>
        <v>0</v>
      </c>
      <c r="K110" s="29"/>
      <c r="L110" s="22">
        <f>Table378[[#This Row],[FEET9]]/5280</f>
        <v>0</v>
      </c>
      <c r="M110" s="13"/>
    </row>
    <row r="111" spans="1:13" ht="15.75" thickBot="1" x14ac:dyDescent="0.3">
      <c r="A111" s="26"/>
      <c r="B111" s="27" t="s">
        <v>22</v>
      </c>
      <c r="C111" s="27" t="s">
        <v>165</v>
      </c>
      <c r="D111" s="28"/>
      <c r="E111" s="29"/>
      <c r="F111" s="23">
        <f>Table378[[#This Row],[FEET3]]/5280</f>
        <v>2.8674242424242422</v>
      </c>
      <c r="G111" s="20">
        <v>15140</v>
      </c>
      <c r="H111" s="21">
        <f>Table378[[#This Row],[FEET5]]/5280</f>
        <v>0.10662878787878788</v>
      </c>
      <c r="I111" s="21">
        <v>563</v>
      </c>
      <c r="J111" s="29">
        <f>Table378[[#This Row],[FEET7]]/5280</f>
        <v>0</v>
      </c>
      <c r="K111" s="29"/>
      <c r="L111" s="22">
        <f>Table378[[#This Row],[FEET9]]/5280</f>
        <v>0</v>
      </c>
      <c r="M111" s="13"/>
    </row>
    <row r="112" spans="1:13" ht="15.75" thickBot="1" x14ac:dyDescent="0.3">
      <c r="A112" s="26"/>
      <c r="B112" s="31" t="s">
        <v>21</v>
      </c>
      <c r="C112" s="31" t="s">
        <v>63</v>
      </c>
      <c r="D112" s="28"/>
      <c r="E112" s="28"/>
      <c r="F112" s="23">
        <f>Table378[[#This Row],[FEET3]]/5280</f>
        <v>1.6630113636363637</v>
      </c>
      <c r="G112" s="23">
        <v>8780.7000000000007</v>
      </c>
      <c r="H112" s="24">
        <f>Table378[[#This Row],[FEET5]]/5280</f>
        <v>0.20725378787878787</v>
      </c>
      <c r="I112" s="24">
        <v>1094.3</v>
      </c>
      <c r="J112" s="28">
        <f>Table378[[#This Row],[FEET7]]/5280</f>
        <v>6.0189393939393938E-2</v>
      </c>
      <c r="K112" s="28">
        <v>317.8</v>
      </c>
      <c r="L112" s="25">
        <f>Table378[[#This Row],[FEET9]]/5280</f>
        <v>0</v>
      </c>
      <c r="M112" s="15"/>
    </row>
    <row r="113" spans="1:13" ht="15.75" thickBot="1" x14ac:dyDescent="0.3">
      <c r="A113" s="26"/>
      <c r="B113" s="27" t="s">
        <v>69</v>
      </c>
      <c r="C113" s="27" t="s">
        <v>47</v>
      </c>
      <c r="D113" s="28"/>
      <c r="E113" s="29"/>
      <c r="F113" s="23">
        <f>Table378[[#This Row],[FEET3]]/5280</f>
        <v>3.2185606060606062</v>
      </c>
      <c r="G113" s="20">
        <v>16994</v>
      </c>
      <c r="H113" s="21">
        <f>Table378[[#This Row],[FEET5]]/5280</f>
        <v>0.68219696969696975</v>
      </c>
      <c r="I113" s="21">
        <v>3602</v>
      </c>
      <c r="J113" s="29">
        <f>Table378[[#This Row],[FEET7]]/5280</f>
        <v>0</v>
      </c>
      <c r="K113" s="29"/>
      <c r="L113" s="25">
        <f>Table378[[#This Row],[FEET9]]/5280</f>
        <v>0</v>
      </c>
      <c r="M113" s="15"/>
    </row>
    <row r="114" spans="1:13" ht="15.75" thickBot="1" x14ac:dyDescent="0.3">
      <c r="A114" s="26"/>
      <c r="B114" s="8" t="s">
        <v>40</v>
      </c>
      <c r="C114" s="31" t="s">
        <v>62</v>
      </c>
      <c r="D114" s="28"/>
      <c r="E114" s="28"/>
      <c r="F114" s="23">
        <f>Table378[[#This Row],[FEET3]]/5280</f>
        <v>1.9361742424242425</v>
      </c>
      <c r="G114" s="23">
        <v>10223</v>
      </c>
      <c r="H114" s="24">
        <f>Table378[[#This Row],[FEET5]]/5280</f>
        <v>0</v>
      </c>
      <c r="I114" s="24"/>
      <c r="J114" s="28">
        <f>Table378[[#This Row],[FEET7]]/5280</f>
        <v>0</v>
      </c>
      <c r="K114" s="28"/>
      <c r="L114" s="25">
        <f>Table378[[#This Row],[FEET9]]/5280</f>
        <v>0</v>
      </c>
      <c r="M114" s="15"/>
    </row>
    <row r="115" spans="1:13" ht="15.75" thickBot="1" x14ac:dyDescent="0.3">
      <c r="A115" s="26"/>
      <c r="B115" s="33" t="s">
        <v>5</v>
      </c>
      <c r="C115" s="27" t="s">
        <v>251</v>
      </c>
      <c r="D115" s="28"/>
      <c r="E115" s="29"/>
      <c r="F115" s="23">
        <f>Table378[[#This Row],[FEET3]]/5280</f>
        <v>4.6789772727272725</v>
      </c>
      <c r="G115" s="20">
        <f>14338+10367</f>
        <v>24705</v>
      </c>
      <c r="H115" s="21">
        <f>Table378[[#This Row],[FEET5]]/5280</f>
        <v>0.49053030303030304</v>
      </c>
      <c r="I115" s="21">
        <f>2052+538</f>
        <v>2590</v>
      </c>
      <c r="J115" s="29">
        <f>Table378[[#This Row],[FEET7]]/5280</f>
        <v>1.1984848484848485</v>
      </c>
      <c r="K115" s="29">
        <f>3944+2384</f>
        <v>6328</v>
      </c>
      <c r="L115" s="25">
        <f>Table378[[#This Row],[FEET9]]/5280</f>
        <v>0</v>
      </c>
      <c r="M115" s="15"/>
    </row>
    <row r="116" spans="1:13" ht="15.75" thickBot="1" x14ac:dyDescent="0.3">
      <c r="A116" s="26"/>
      <c r="B116" s="31" t="s">
        <v>38</v>
      </c>
      <c r="C116" s="31" t="s">
        <v>39</v>
      </c>
      <c r="D116" s="28"/>
      <c r="E116" s="28"/>
      <c r="F116" s="23">
        <f>Table378[[#This Row],[FEET3]]/5280</f>
        <v>6.2882575757575756</v>
      </c>
      <c r="G116" s="23">
        <v>33202</v>
      </c>
      <c r="H116" s="24">
        <f>Table378[[#This Row],[FEET5]]/5280</f>
        <v>0.49090909090909091</v>
      </c>
      <c r="I116" s="24">
        <v>2592</v>
      </c>
      <c r="J116" s="28">
        <f>Table378[[#This Row],[FEET7]]/5280</f>
        <v>0</v>
      </c>
      <c r="K116" s="28"/>
      <c r="L116" s="25">
        <f>Table378[[#This Row],[FEET9]]/5280</f>
        <v>0</v>
      </c>
      <c r="M116" s="15"/>
    </row>
    <row r="117" spans="1:13" ht="15.75" thickBot="1" x14ac:dyDescent="0.3">
      <c r="A117" s="26"/>
      <c r="B117" s="31" t="s">
        <v>167</v>
      </c>
      <c r="C117" s="31" t="s">
        <v>168</v>
      </c>
      <c r="D117" s="28"/>
      <c r="E117" s="28"/>
      <c r="F117" s="23">
        <f>Table378[[#This Row],[FEET3]]/5280</f>
        <v>14.873734848484849</v>
      </c>
      <c r="G117" s="23">
        <v>78533.320000000007</v>
      </c>
      <c r="H117" s="24">
        <f>Table378[[#This Row],[FEET5]]/5280</f>
        <v>0.61677272727272725</v>
      </c>
      <c r="I117" s="24">
        <v>3256.56</v>
      </c>
      <c r="J117" s="28">
        <f>Table378[[#This Row],[FEET7]]/5280</f>
        <v>12.75441287878788</v>
      </c>
      <c r="K117" s="28">
        <v>67343.3</v>
      </c>
      <c r="L117" s="25">
        <f>Table378[[#This Row],[FEET9]]/5280</f>
        <v>0</v>
      </c>
      <c r="M117" s="15"/>
    </row>
    <row r="118" spans="1:13" ht="15.75" thickBot="1" x14ac:dyDescent="0.3">
      <c r="A118" s="26"/>
      <c r="B118" s="31" t="s">
        <v>48</v>
      </c>
      <c r="C118" s="31" t="s">
        <v>89</v>
      </c>
      <c r="D118" s="28"/>
      <c r="E118" s="28"/>
      <c r="F118" s="23">
        <f>Table378[[#This Row],[FEET3]]/5280</f>
        <v>3.4844696969696969</v>
      </c>
      <c r="G118" s="23">
        <v>18398</v>
      </c>
      <c r="H118" s="24">
        <f>Table378[[#This Row],[FEET5]]/5280</f>
        <v>0.23636363636363636</v>
      </c>
      <c r="I118" s="24">
        <v>1248</v>
      </c>
      <c r="J118" s="28">
        <f>Table378[[#This Row],[FEET7]]/5280</f>
        <v>0</v>
      </c>
      <c r="K118" s="28"/>
      <c r="L118" s="25">
        <f>Table378[[#This Row],[FEET9]]/5280</f>
        <v>0</v>
      </c>
      <c r="M118" s="15"/>
    </row>
    <row r="119" spans="1:13" ht="15.75" thickBot="1" x14ac:dyDescent="0.3">
      <c r="A119" s="26"/>
      <c r="B119" s="27" t="s">
        <v>48</v>
      </c>
      <c r="C119" s="27" t="s">
        <v>169</v>
      </c>
      <c r="D119" s="28"/>
      <c r="E119" s="29"/>
      <c r="F119" s="23">
        <f>Table378[[#This Row],[FEET3]]/5280</f>
        <v>0.88901515151515154</v>
      </c>
      <c r="G119" s="20">
        <v>4694</v>
      </c>
      <c r="H119" s="21">
        <f>Table378[[#This Row],[FEET5]]/5280</f>
        <v>0.31704545454545452</v>
      </c>
      <c r="I119" s="21">
        <v>1674</v>
      </c>
      <c r="J119" s="29">
        <f>Table378[[#This Row],[FEET7]]/5280</f>
        <v>3.1893939393939394</v>
      </c>
      <c r="K119" s="29">
        <v>16840</v>
      </c>
      <c r="L119" s="25">
        <f>Table378[[#This Row],[FEET9]]/5280</f>
        <v>0</v>
      </c>
      <c r="M119" s="15"/>
    </row>
    <row r="120" spans="1:13" ht="15.75" thickBot="1" x14ac:dyDescent="0.3">
      <c r="A120" s="26"/>
      <c r="B120" s="27" t="s">
        <v>40</v>
      </c>
      <c r="C120" s="27" t="s">
        <v>166</v>
      </c>
      <c r="D120" s="28"/>
      <c r="E120" s="29"/>
      <c r="F120" s="23">
        <f>Table378[[#This Row],[FEET3]]/5280</f>
        <v>0.97253787878787878</v>
      </c>
      <c r="G120" s="20">
        <v>5135</v>
      </c>
      <c r="H120" s="21">
        <f>Table378[[#This Row],[FEET5]]/5280</f>
        <v>0.34734848484848485</v>
      </c>
      <c r="I120" s="21">
        <v>1834</v>
      </c>
      <c r="J120" s="29">
        <f>Table378[[#This Row],[FEET7]]/5280</f>
        <v>0</v>
      </c>
      <c r="K120" s="29"/>
      <c r="L120" s="22">
        <f>Table378[[#This Row],[FEET9]]/5280</f>
        <v>0</v>
      </c>
      <c r="M120" s="13"/>
    </row>
    <row r="121" spans="1:13" ht="15.75" thickBot="1" x14ac:dyDescent="0.3">
      <c r="A121" s="26"/>
      <c r="B121" s="27" t="s">
        <v>38</v>
      </c>
      <c r="C121" s="27" t="s">
        <v>215</v>
      </c>
      <c r="D121" s="28"/>
      <c r="E121" s="29"/>
      <c r="F121" s="23">
        <f>Table378[[#This Row],[FEET3]]/5280</f>
        <v>1.1210227272727273</v>
      </c>
      <c r="G121" s="20">
        <v>5919</v>
      </c>
      <c r="H121" s="21">
        <f>Table378[[#This Row],[FEET5]]/5280</f>
        <v>0.26079545454545455</v>
      </c>
      <c r="I121" s="21">
        <v>1377</v>
      </c>
      <c r="J121" s="29">
        <f>Table378[[#This Row],[FEET7]]/5280</f>
        <v>0</v>
      </c>
      <c r="K121" s="29"/>
      <c r="L121" s="22">
        <f>Table378[[#This Row],[FEET9]]/5280</f>
        <v>0</v>
      </c>
      <c r="M121" s="13"/>
    </row>
    <row r="122" spans="1:13" ht="15.75" thickBot="1" x14ac:dyDescent="0.3">
      <c r="A122" s="26"/>
      <c r="B122" s="8" t="s">
        <v>170</v>
      </c>
      <c r="C122" s="31" t="s">
        <v>171</v>
      </c>
      <c r="D122" s="28"/>
      <c r="E122" s="28"/>
      <c r="F122" s="23">
        <f>Table378[[#This Row],[FEET3]]/5280</f>
        <v>1.3</v>
      </c>
      <c r="G122" s="23">
        <v>6864</v>
      </c>
      <c r="H122" s="24">
        <f>Table378[[#This Row],[FEET5]]/5280</f>
        <v>0</v>
      </c>
      <c r="I122" s="24"/>
      <c r="J122" s="28">
        <f>Table378[[#This Row],[FEET7]]/5280</f>
        <v>0</v>
      </c>
      <c r="K122" s="28"/>
      <c r="L122" s="25">
        <f>Table378[[#This Row],[FEET9]]/5280</f>
        <v>0</v>
      </c>
      <c r="M122" s="15"/>
    </row>
    <row r="123" spans="1:13" ht="15.75" thickBot="1" x14ac:dyDescent="0.3">
      <c r="A123" s="5" t="s">
        <v>237</v>
      </c>
      <c r="B123" s="5"/>
      <c r="C123" s="5"/>
      <c r="D123" s="6"/>
      <c r="E123" s="7"/>
      <c r="F123" s="9">
        <f>Table378[[#This Row],[FEET3]]/5280</f>
        <v>0</v>
      </c>
      <c r="G123" s="10"/>
      <c r="H123" s="11">
        <f>Table378[[#This Row],[FEET5]]/5280</f>
        <v>0</v>
      </c>
      <c r="I123" s="12"/>
      <c r="J123" s="6">
        <f>Table378[[#This Row],[FEET7]]/5280</f>
        <v>0</v>
      </c>
      <c r="K123" s="7"/>
      <c r="L123" s="13">
        <f>Table378[[#This Row],[FEET9]]/5280</f>
        <v>0</v>
      </c>
      <c r="M123" s="14"/>
    </row>
    <row r="124" spans="1:13" ht="15.75" thickBot="1" x14ac:dyDescent="0.3">
      <c r="A124" s="26"/>
      <c r="B124" s="27" t="s">
        <v>44</v>
      </c>
      <c r="C124" s="27" t="s">
        <v>45</v>
      </c>
      <c r="D124" s="28"/>
      <c r="E124" s="29"/>
      <c r="F124" s="23">
        <f>Table378[[#This Row],[FEET3]]/5280</f>
        <v>0.74488636363636362</v>
      </c>
      <c r="G124" s="20">
        <v>3933</v>
      </c>
      <c r="H124" s="21">
        <f>Table378[[#This Row],[FEET5]]/5280</f>
        <v>0.15511363636363637</v>
      </c>
      <c r="I124" s="21">
        <v>819</v>
      </c>
      <c r="J124" s="29">
        <f>Table378[[#This Row],[FEET7]]/5280</f>
        <v>0</v>
      </c>
      <c r="K124" s="29"/>
      <c r="L124" s="22">
        <f>Table378[[#This Row],[FEET9]]/5280</f>
        <v>0</v>
      </c>
      <c r="M124" s="13"/>
    </row>
    <row r="125" spans="1:13" ht="15.75" thickBot="1" x14ac:dyDescent="0.3">
      <c r="A125" s="26"/>
      <c r="B125" s="31" t="s">
        <v>6</v>
      </c>
      <c r="C125" s="31" t="s">
        <v>172</v>
      </c>
      <c r="D125" s="28"/>
      <c r="E125" s="28"/>
      <c r="F125" s="23">
        <f>Table378[[#This Row],[FEET3]]/5280</f>
        <v>1.6587121212121212</v>
      </c>
      <c r="G125" s="23">
        <f>868+868+496+246+1180+1180+695+1919+250+528+528</f>
        <v>8758</v>
      </c>
      <c r="H125" s="24">
        <f>Table378[[#This Row],[FEET5]]/5280</f>
        <v>1.125</v>
      </c>
      <c r="I125" s="24">
        <f>496+889+246+695+370+1919+1075+250</f>
        <v>5940</v>
      </c>
      <c r="J125" s="28">
        <f>Table378[[#This Row],[FEET7]]/5280</f>
        <v>0</v>
      </c>
      <c r="K125" s="28"/>
      <c r="L125" s="25">
        <f>Table378[[#This Row],[FEET9]]/5280</f>
        <v>0</v>
      </c>
      <c r="M125" s="15"/>
    </row>
    <row r="126" spans="1:13" ht="15.75" thickBot="1" x14ac:dyDescent="0.3">
      <c r="A126" s="26"/>
      <c r="B126" s="27" t="s">
        <v>199</v>
      </c>
      <c r="C126" s="27" t="s">
        <v>114</v>
      </c>
      <c r="D126" s="28"/>
      <c r="E126" s="29"/>
      <c r="F126" s="23">
        <f>Table378[[#This Row],[FEET3]]/5280</f>
        <v>1.0291666666666666</v>
      </c>
      <c r="G126" s="20">
        <f>2717*2</f>
        <v>5434</v>
      </c>
      <c r="H126" s="21">
        <f>Table378[[#This Row],[FEET5]]/5280</f>
        <v>0</v>
      </c>
      <c r="I126" s="21"/>
      <c r="J126" s="29">
        <f>Table378[[#This Row],[FEET7]]/5280</f>
        <v>3.0303030303030304E-2</v>
      </c>
      <c r="K126" s="29">
        <v>160</v>
      </c>
      <c r="L126" s="25">
        <f>Table378[[#This Row],[FEET9]]/5280</f>
        <v>0</v>
      </c>
      <c r="M126" s="15"/>
    </row>
    <row r="127" spans="1:13" ht="15.75" thickBot="1" x14ac:dyDescent="0.3">
      <c r="A127" s="26"/>
      <c r="B127" s="27" t="s">
        <v>6</v>
      </c>
      <c r="C127" s="27" t="s">
        <v>245</v>
      </c>
      <c r="D127" s="28"/>
      <c r="E127" s="29"/>
      <c r="F127" s="23">
        <f>Table378[[#This Row],[FEET3]]/5280</f>
        <v>3.2520833333333332</v>
      </c>
      <c r="G127" s="20">
        <f>2357+2357+2443+2443+2419+1231+1231+868+868+477+477</f>
        <v>17171</v>
      </c>
      <c r="H127" s="21">
        <f>Table378[[#This Row],[FEET5]]/5280</f>
        <v>1.1215909090909091</v>
      </c>
      <c r="I127" s="21">
        <f>2419+868+1967+668</f>
        <v>5922</v>
      </c>
      <c r="J127" s="29">
        <f>Table378[[#This Row],[FEET7]]/5280</f>
        <v>0</v>
      </c>
      <c r="K127" s="29"/>
      <c r="L127" s="22">
        <f>Table378[[#This Row],[FEET9]]/5280</f>
        <v>0</v>
      </c>
      <c r="M127" s="13"/>
    </row>
    <row r="128" spans="1:13" ht="15.75" thickBot="1" x14ac:dyDescent="0.3">
      <c r="A128" s="26"/>
      <c r="B128" s="31" t="s">
        <v>160</v>
      </c>
      <c r="C128" s="31" t="s">
        <v>173</v>
      </c>
      <c r="D128" s="28"/>
      <c r="E128" s="28"/>
      <c r="F128" s="23">
        <f>Table378[[#This Row],[FEET3]]/5280</f>
        <v>0.8041666666666667</v>
      </c>
      <c r="G128" s="23">
        <v>4246</v>
      </c>
      <c r="H128" s="24">
        <f>Table378[[#This Row],[FEET5]]/5280</f>
        <v>0.46534090909090908</v>
      </c>
      <c r="I128" s="24">
        <v>2457</v>
      </c>
      <c r="J128" s="28">
        <f>Table378[[#This Row],[FEET7]]/5280</f>
        <v>0</v>
      </c>
      <c r="K128" s="28"/>
      <c r="L128" s="25">
        <f>Table378[[#This Row],[FEET9]]/5280</f>
        <v>0</v>
      </c>
      <c r="M128" s="15"/>
    </row>
    <row r="129" spans="1:13" ht="15.75" thickBot="1" x14ac:dyDescent="0.3">
      <c r="A129" s="5" t="s">
        <v>238</v>
      </c>
      <c r="B129" s="5"/>
      <c r="C129" s="5"/>
      <c r="D129" s="6"/>
      <c r="E129" s="7"/>
      <c r="F129" s="9">
        <f>Table378[[#This Row],[FEET3]]/5280</f>
        <v>0</v>
      </c>
      <c r="G129" s="10"/>
      <c r="H129" s="11">
        <f>Table378[[#This Row],[FEET5]]/5280</f>
        <v>0</v>
      </c>
      <c r="I129" s="12"/>
      <c r="J129" s="6">
        <f>Table378[[#This Row],[FEET7]]/5280</f>
        <v>0</v>
      </c>
      <c r="K129" s="7"/>
      <c r="L129" s="13">
        <f>Table378[[#This Row],[FEET9]]/5280</f>
        <v>0</v>
      </c>
      <c r="M129" s="14"/>
    </row>
    <row r="130" spans="1:13" ht="15.75" thickBot="1" x14ac:dyDescent="0.3">
      <c r="A130" s="32"/>
      <c r="B130" s="27" t="s">
        <v>35</v>
      </c>
      <c r="C130" s="27" t="s">
        <v>174</v>
      </c>
      <c r="D130" s="28"/>
      <c r="E130" s="29"/>
      <c r="F130" s="23">
        <f>Table378[[#This Row],[FEET3]]/5280</f>
        <v>4.8658901515151518</v>
      </c>
      <c r="G130" s="20">
        <v>25691.9</v>
      </c>
      <c r="H130" s="21">
        <f>Table378[[#This Row],[FEET5]]/5280</f>
        <v>0.14609848484848484</v>
      </c>
      <c r="I130" s="21">
        <v>771.4</v>
      </c>
      <c r="J130" s="29">
        <f>Table378[[#This Row],[FEET7]]/5280</f>
        <v>0</v>
      </c>
      <c r="K130" s="29"/>
      <c r="L130" s="22">
        <f>Table378[[#This Row],[FEET9]]/5280</f>
        <v>0</v>
      </c>
      <c r="M130" s="13"/>
    </row>
    <row r="131" spans="1:13" ht="15.75" thickBot="1" x14ac:dyDescent="0.3">
      <c r="A131" s="26"/>
      <c r="B131" s="31" t="s">
        <v>35</v>
      </c>
      <c r="C131" s="31" t="s">
        <v>175</v>
      </c>
      <c r="D131" s="28"/>
      <c r="E131" s="28"/>
      <c r="F131" s="23">
        <f>Table378[[#This Row],[FEET3]]/5280</f>
        <v>2.1146022727272729</v>
      </c>
      <c r="G131" s="23">
        <v>11165.1</v>
      </c>
      <c r="H131" s="24">
        <f>Table378[[#This Row],[FEET5]]/5280</f>
        <v>0.46571969696969695</v>
      </c>
      <c r="I131" s="24">
        <v>2459</v>
      </c>
      <c r="J131" s="28">
        <f>Table378[[#This Row],[FEET7]]/5280</f>
        <v>0</v>
      </c>
      <c r="K131" s="28"/>
      <c r="L131" s="25">
        <f>Table378[[#This Row],[FEET9]]/5280</f>
        <v>0</v>
      </c>
      <c r="M131" s="15"/>
    </row>
    <row r="132" spans="1:13" ht="15.75" thickBot="1" x14ac:dyDescent="0.3">
      <c r="A132" s="26"/>
      <c r="B132" s="31" t="s">
        <v>48</v>
      </c>
      <c r="C132" s="31" t="s">
        <v>176</v>
      </c>
      <c r="D132" s="28"/>
      <c r="E132" s="28"/>
      <c r="F132" s="23">
        <f>Table378[[#This Row],[FEET3]]/5280</f>
        <v>2.3280303030303031</v>
      </c>
      <c r="G132" s="23">
        <v>12292</v>
      </c>
      <c r="H132" s="24">
        <f>Table378[[#This Row],[FEET5]]/5280</f>
        <v>0</v>
      </c>
      <c r="I132" s="24"/>
      <c r="J132" s="28">
        <f>Table378[[#This Row],[FEET7]]/5280</f>
        <v>0</v>
      </c>
      <c r="K132" s="28"/>
      <c r="L132" s="25">
        <f>Table378[[#This Row],[FEET9]]/5280</f>
        <v>0</v>
      </c>
      <c r="M132" s="15"/>
    </row>
    <row r="133" spans="1:13" ht="15.75" thickBot="1" x14ac:dyDescent="0.3">
      <c r="A133" s="26"/>
      <c r="B133" s="31" t="s">
        <v>118</v>
      </c>
      <c r="C133" s="31" t="s">
        <v>93</v>
      </c>
      <c r="D133" s="28"/>
      <c r="E133" s="28"/>
      <c r="F133" s="23">
        <f>Table378[[#This Row],[FEET3]]/5280</f>
        <v>17.273863636363636</v>
      </c>
      <c r="G133" s="23">
        <v>91206</v>
      </c>
      <c r="H133" s="24">
        <f>Table378[[#This Row],[FEET5]]/5280</f>
        <v>0.37613636363636366</v>
      </c>
      <c r="I133" s="24">
        <v>1986</v>
      </c>
      <c r="J133" s="28">
        <f>Table378[[#This Row],[FEET7]]/5280</f>
        <v>10.960984848484848</v>
      </c>
      <c r="K133" s="28">
        <v>57874</v>
      </c>
      <c r="L133" s="25">
        <f>Table378[[#This Row],[FEET9]]/5280</f>
        <v>0</v>
      </c>
      <c r="M133" s="15"/>
    </row>
    <row r="134" spans="1:13" ht="15.75" thickBot="1" x14ac:dyDescent="0.3">
      <c r="A134" s="26"/>
      <c r="B134" s="33" t="s">
        <v>167</v>
      </c>
      <c r="C134" s="27" t="s">
        <v>248</v>
      </c>
      <c r="D134" s="28"/>
      <c r="E134" s="29"/>
      <c r="F134" s="23">
        <f>Table378[[#This Row],[FEET3]]/5280</f>
        <v>3.4871212121212123</v>
      </c>
      <c r="G134" s="20">
        <v>18412</v>
      </c>
      <c r="H134" s="21">
        <f>Table378[[#This Row],[FEET5]]/5280</f>
        <v>0.38655303030303029</v>
      </c>
      <c r="I134" s="21">
        <v>2041</v>
      </c>
      <c r="J134" s="29">
        <f>Table378[[#This Row],[FEET7]]/5280</f>
        <v>0</v>
      </c>
      <c r="K134" s="29"/>
      <c r="L134" s="22">
        <f>Table378[[#This Row],[FEET9]]/5280</f>
        <v>0</v>
      </c>
      <c r="M134" s="13"/>
    </row>
    <row r="135" spans="1:13" ht="15.75" thickBot="1" x14ac:dyDescent="0.3">
      <c r="A135" s="26"/>
      <c r="B135" s="31" t="s">
        <v>119</v>
      </c>
      <c r="C135" s="31" t="s">
        <v>113</v>
      </c>
      <c r="D135" s="28"/>
      <c r="E135" s="28"/>
      <c r="F135" s="23">
        <f>Table378[[#This Row],[FEET3]]/5280</f>
        <v>3.4488636363636362</v>
      </c>
      <c r="G135" s="23">
        <f>974+974+8131+8131</f>
        <v>18210</v>
      </c>
      <c r="H135" s="24">
        <f>Table378[[#This Row],[FEET5]]/5280</f>
        <v>0.16893939393939394</v>
      </c>
      <c r="I135" s="24">
        <v>892</v>
      </c>
      <c r="J135" s="28">
        <f>Table378[[#This Row],[FEET7]]/5280</f>
        <v>3.8397727272727273</v>
      </c>
      <c r="K135" s="28">
        <f>10137+10137</f>
        <v>20274</v>
      </c>
      <c r="L135" s="25">
        <f>Table378[[#This Row],[FEET9]]/5280</f>
        <v>0</v>
      </c>
      <c r="M135" s="15"/>
    </row>
    <row r="136" spans="1:13" ht="15.75" thickBot="1" x14ac:dyDescent="0.3">
      <c r="A136" s="26"/>
      <c r="B136" s="27" t="s">
        <v>119</v>
      </c>
      <c r="C136" s="27" t="s">
        <v>98</v>
      </c>
      <c r="D136" s="28"/>
      <c r="E136" s="29"/>
      <c r="F136" s="23">
        <f>Table378[[#This Row],[FEET3]]/5280</f>
        <v>0.77462121212121215</v>
      </c>
      <c r="G136" s="20">
        <f>2045+2045</f>
        <v>4090</v>
      </c>
      <c r="H136" s="21">
        <f>Table378[[#This Row],[FEET5]]/5280</f>
        <v>0</v>
      </c>
      <c r="I136" s="21"/>
      <c r="J136" s="29">
        <f>Table378[[#This Row],[FEET7]]/5280</f>
        <v>0.79166666666666663</v>
      </c>
      <c r="K136" s="29">
        <f>2090+2090</f>
        <v>4180</v>
      </c>
      <c r="L136" s="22">
        <f>Table378[[#This Row],[FEET9]]/5280</f>
        <v>0</v>
      </c>
      <c r="M136" s="13"/>
    </row>
    <row r="137" spans="1:13" ht="15.75" thickBot="1" x14ac:dyDescent="0.3">
      <c r="A137" s="26"/>
      <c r="B137" s="27" t="s">
        <v>48</v>
      </c>
      <c r="C137" s="27" t="s">
        <v>177</v>
      </c>
      <c r="D137" s="28"/>
      <c r="E137" s="29"/>
      <c r="F137" s="23">
        <f>Table378[[#This Row],[FEET3]]/5280</f>
        <v>3.9149204545454541</v>
      </c>
      <c r="G137" s="20">
        <v>20670.78</v>
      </c>
      <c r="H137" s="21">
        <f>Table378[[#This Row],[FEET5]]/5280</f>
        <v>0.12600378787878788</v>
      </c>
      <c r="I137" s="21">
        <v>665.3</v>
      </c>
      <c r="J137" s="29">
        <f>Table378[[#This Row],[FEET7]]/5280</f>
        <v>0</v>
      </c>
      <c r="K137" s="29"/>
      <c r="L137" s="22">
        <f>Table378[[#This Row],[FEET9]]/5280</f>
        <v>0</v>
      </c>
      <c r="M137" s="13"/>
    </row>
    <row r="138" spans="1:13" ht="15.75" thickBot="1" x14ac:dyDescent="0.3">
      <c r="A138" s="26"/>
      <c r="B138" s="31" t="s">
        <v>97</v>
      </c>
      <c r="C138" s="31" t="s">
        <v>178</v>
      </c>
      <c r="D138" s="28"/>
      <c r="E138" s="28"/>
      <c r="F138" s="23">
        <f>Table378[[#This Row],[FEET3]]/5280</f>
        <v>1.5803030303030303</v>
      </c>
      <c r="G138" s="23">
        <f>4172+4172</f>
        <v>8344</v>
      </c>
      <c r="H138" s="24">
        <f>Table378[[#This Row],[FEET5]]/5280</f>
        <v>0</v>
      </c>
      <c r="I138" s="24"/>
      <c r="J138" s="28">
        <f>Table378[[#This Row],[FEET7]]/5280</f>
        <v>0</v>
      </c>
      <c r="K138" s="28"/>
      <c r="L138" s="25">
        <f>Table378[[#This Row],[FEET9]]/5280</f>
        <v>0</v>
      </c>
      <c r="M138" s="15"/>
    </row>
    <row r="139" spans="1:13" ht="15.75" thickBot="1" x14ac:dyDescent="0.3">
      <c r="A139" s="26"/>
      <c r="B139" s="33" t="s">
        <v>35</v>
      </c>
      <c r="C139" s="27" t="s">
        <v>259</v>
      </c>
      <c r="D139" s="28"/>
      <c r="E139" s="29"/>
      <c r="F139" s="23">
        <f>Table378[[#This Row],[FEET3]]/5280</f>
        <v>7.5041818181818183</v>
      </c>
      <c r="G139" s="20">
        <v>39622.080000000002</v>
      </c>
      <c r="H139" s="21">
        <f>Table378[[#This Row],[FEET5]]/5280</f>
        <v>0.20624999999999999</v>
      </c>
      <c r="I139" s="21">
        <v>1089</v>
      </c>
      <c r="J139" s="29">
        <f>Table378[[#This Row],[FEET7]]/5280</f>
        <v>0</v>
      </c>
      <c r="K139" s="29"/>
      <c r="L139" s="22">
        <f>Table378[[#This Row],[FEET9]]/5280</f>
        <v>0</v>
      </c>
      <c r="M139" s="13"/>
    </row>
    <row r="140" spans="1:13" ht="15.75" thickBot="1" x14ac:dyDescent="0.3">
      <c r="A140" s="5" t="s">
        <v>239</v>
      </c>
      <c r="B140" s="5"/>
      <c r="C140" s="5"/>
      <c r="D140" s="6"/>
      <c r="E140" s="7"/>
      <c r="F140" s="9">
        <f>Table378[[#This Row],[FEET3]]/5280</f>
        <v>0</v>
      </c>
      <c r="G140" s="10"/>
      <c r="H140" s="11">
        <f>Table378[[#This Row],[FEET5]]/5280</f>
        <v>0</v>
      </c>
      <c r="I140" s="12"/>
      <c r="J140" s="6">
        <f>Table378[[#This Row],[FEET7]]/5280</f>
        <v>0</v>
      </c>
      <c r="K140" s="7"/>
      <c r="L140" s="13">
        <f>Table378[[#This Row],[FEET9]]/5280</f>
        <v>0</v>
      </c>
      <c r="M140" s="14"/>
    </row>
    <row r="141" spans="1:13" ht="15.75" thickBot="1" x14ac:dyDescent="0.3">
      <c r="A141" s="30"/>
      <c r="B141" s="27" t="s">
        <v>6</v>
      </c>
      <c r="C141" s="27" t="s">
        <v>179</v>
      </c>
      <c r="D141" s="28"/>
      <c r="E141" s="29"/>
      <c r="F141" s="23">
        <f>Table378[[#This Row],[FEET3]]/5280</f>
        <v>2.4755681818181818</v>
      </c>
      <c r="G141" s="20">
        <v>13071</v>
      </c>
      <c r="H141" s="21">
        <f>Table378[[#This Row],[FEET5]]/5280</f>
        <v>0.76875000000000004</v>
      </c>
      <c r="I141" s="21">
        <v>4059</v>
      </c>
      <c r="J141" s="29">
        <f>Table378[[#This Row],[FEET7]]/5280</f>
        <v>0</v>
      </c>
      <c r="K141" s="29"/>
      <c r="L141" s="22">
        <f>Table378[[#This Row],[FEET9]]/5280</f>
        <v>0</v>
      </c>
      <c r="M141" s="13"/>
    </row>
    <row r="142" spans="1:13" ht="15.75" thickBot="1" x14ac:dyDescent="0.3">
      <c r="A142" s="30"/>
      <c r="B142" s="31" t="s">
        <v>36</v>
      </c>
      <c r="C142" s="31" t="s">
        <v>85</v>
      </c>
      <c r="D142" s="28"/>
      <c r="E142" s="28"/>
      <c r="F142" s="23">
        <f>Table378[[#This Row],[FEET3]]/5280</f>
        <v>1.0905303030303031</v>
      </c>
      <c r="G142" s="23">
        <v>5758</v>
      </c>
      <c r="H142" s="24">
        <f>Table378[[#This Row],[FEET5]]/5280</f>
        <v>0.25909090909090909</v>
      </c>
      <c r="I142" s="24">
        <v>1368</v>
      </c>
      <c r="J142" s="28">
        <f>Table378[[#This Row],[FEET7]]/5280</f>
        <v>2.8373106060606061</v>
      </c>
      <c r="K142" s="28">
        <v>14981</v>
      </c>
      <c r="L142" s="13">
        <f>Table378[[#This Row],[FEET9]]/5280</f>
        <v>0</v>
      </c>
      <c r="M142" s="16"/>
    </row>
    <row r="143" spans="1:13" ht="15.75" thickBot="1" x14ac:dyDescent="0.3">
      <c r="A143" s="5" t="s">
        <v>240</v>
      </c>
      <c r="B143" s="5"/>
      <c r="C143" s="5"/>
      <c r="D143" s="6"/>
      <c r="E143" s="7"/>
      <c r="F143" s="9">
        <f>Table378[[#This Row],[FEET3]]/5280</f>
        <v>0</v>
      </c>
      <c r="G143" s="10"/>
      <c r="H143" s="11">
        <f>Table378[[#This Row],[FEET5]]/5280</f>
        <v>0</v>
      </c>
      <c r="I143" s="12"/>
      <c r="J143" s="6">
        <f>Table378[[#This Row],[FEET7]]/5280</f>
        <v>0</v>
      </c>
      <c r="K143" s="7"/>
      <c r="L143" s="13">
        <f>Table378[[#This Row],[FEET9]]/5280</f>
        <v>0</v>
      </c>
      <c r="M143" s="14"/>
    </row>
    <row r="144" spans="1:13" ht="15.75" thickBot="1" x14ac:dyDescent="0.3">
      <c r="A144" s="30"/>
      <c r="B144" s="31" t="s">
        <v>73</v>
      </c>
      <c r="C144" s="31" t="s">
        <v>216</v>
      </c>
      <c r="D144" s="28"/>
      <c r="E144" s="28"/>
      <c r="F144" s="23">
        <f>Table378[[#This Row],[FEET3]]/5280</f>
        <v>2.0056818181818183</v>
      </c>
      <c r="G144" s="23">
        <v>10590</v>
      </c>
      <c r="H144" s="24">
        <f>Table378[[#This Row],[FEET5]]/5280</f>
        <v>0.74734848484848482</v>
      </c>
      <c r="I144" s="24">
        <v>3946</v>
      </c>
      <c r="J144" s="28">
        <f>Table378[[#This Row],[FEET7]]/5280</f>
        <v>3.0479166666666666</v>
      </c>
      <c r="K144" s="28">
        <v>16093</v>
      </c>
      <c r="L144" s="25">
        <f>Table378[[#This Row],[FEET9]]/5280</f>
        <v>0</v>
      </c>
      <c r="M144" s="15"/>
    </row>
    <row r="145" spans="1:13" ht="15.75" thickBot="1" x14ac:dyDescent="0.3">
      <c r="A145" s="34"/>
      <c r="B145" s="27" t="s">
        <v>12</v>
      </c>
      <c r="C145" s="27" t="s">
        <v>60</v>
      </c>
      <c r="D145" s="28"/>
      <c r="E145" s="29"/>
      <c r="F145" s="23">
        <f>Table378[[#This Row],[FEET3]]/5280</f>
        <v>0.73333333333333328</v>
      </c>
      <c r="G145" s="20">
        <v>3872</v>
      </c>
      <c r="H145" s="21">
        <f>Table378[[#This Row],[FEET5]]/5280</f>
        <v>0</v>
      </c>
      <c r="I145" s="21"/>
      <c r="J145" s="29">
        <f>Table378[[#This Row],[FEET7]]/5280</f>
        <v>0.56912878787878785</v>
      </c>
      <c r="K145" s="29">
        <v>3005</v>
      </c>
      <c r="L145" s="22">
        <f>Table378[[#This Row],[FEET9]]/5280</f>
        <v>0</v>
      </c>
      <c r="M145" s="13"/>
    </row>
    <row r="146" spans="1:13" ht="15.75" thickBot="1" x14ac:dyDescent="0.3">
      <c r="A146" s="30"/>
      <c r="B146" s="31" t="s">
        <v>12</v>
      </c>
      <c r="C146" s="31" t="s">
        <v>31</v>
      </c>
      <c r="D146" s="28"/>
      <c r="E146" s="28"/>
      <c r="F146" s="23">
        <f>Table378[[#This Row],[FEET3]]/5280</f>
        <v>1.6284090909090909</v>
      </c>
      <c r="G146" s="23">
        <v>8598</v>
      </c>
      <c r="H146" s="24">
        <f>Table378[[#This Row],[FEET5]]/5280</f>
        <v>4.6022727272727271E-2</v>
      </c>
      <c r="I146" s="24">
        <v>243</v>
      </c>
      <c r="J146" s="28">
        <f>Table378[[#This Row],[FEET7]]/5280</f>
        <v>1.8308712121212121</v>
      </c>
      <c r="K146" s="28">
        <v>9667</v>
      </c>
      <c r="L146" s="25">
        <f>Table378[[#This Row],[FEET9]]/5280</f>
        <v>0</v>
      </c>
      <c r="M146" s="15"/>
    </row>
    <row r="147" spans="1:13" ht="15.75" thickBot="1" x14ac:dyDescent="0.3">
      <c r="A147" s="30"/>
      <c r="B147" s="27" t="s">
        <v>10</v>
      </c>
      <c r="C147" s="27" t="s">
        <v>103</v>
      </c>
      <c r="D147" s="28"/>
      <c r="E147" s="29"/>
      <c r="F147" s="23">
        <f>Table378[[#This Row],[FEET3]]/5280</f>
        <v>1.8625</v>
      </c>
      <c r="G147" s="20">
        <v>9834</v>
      </c>
      <c r="H147" s="21">
        <f>Table378[[#This Row],[FEET5]]/5280</f>
        <v>0.37310606060606061</v>
      </c>
      <c r="I147" s="21">
        <v>1970</v>
      </c>
      <c r="J147" s="29">
        <f>Table378[[#This Row],[FEET7]]/5280</f>
        <v>4.5361742424242424</v>
      </c>
      <c r="K147" s="29">
        <v>23951</v>
      </c>
      <c r="L147" s="22">
        <f>Table378[[#This Row],[FEET9]]/5280</f>
        <v>0</v>
      </c>
      <c r="M147" s="13"/>
    </row>
    <row r="148" spans="1:13" ht="15.75" thickBot="1" x14ac:dyDescent="0.3">
      <c r="A148" s="30"/>
      <c r="B148" s="31" t="s">
        <v>10</v>
      </c>
      <c r="C148" s="31" t="s">
        <v>231</v>
      </c>
      <c r="D148" s="28"/>
      <c r="E148" s="28"/>
      <c r="F148" s="23">
        <f>Table378[[#This Row],[FEET3]]/5280</f>
        <v>1.303219696969697</v>
      </c>
      <c r="G148" s="23">
        <v>6881</v>
      </c>
      <c r="H148" s="24">
        <f>Table378[[#This Row],[FEET5]]/5280</f>
        <v>0</v>
      </c>
      <c r="I148" s="24"/>
      <c r="J148" s="28">
        <f>Table378[[#This Row],[FEET7]]/5280</f>
        <v>1.2666666666666666</v>
      </c>
      <c r="K148" s="28">
        <v>6688</v>
      </c>
      <c r="L148" s="25">
        <f>Table378[[#This Row],[FEET9]]/5280</f>
        <v>0</v>
      </c>
      <c r="M148" s="15"/>
    </row>
    <row r="149" spans="1:13" ht="15.75" thickBot="1" x14ac:dyDescent="0.3">
      <c r="A149" s="30"/>
      <c r="B149" s="27" t="s">
        <v>28</v>
      </c>
      <c r="C149" s="27" t="s">
        <v>232</v>
      </c>
      <c r="D149" s="28"/>
      <c r="E149" s="29"/>
      <c r="F149" s="23">
        <f>Table378[[#This Row],[FEET3]]/5280</f>
        <v>1.1787878787878787</v>
      </c>
      <c r="G149" s="20">
        <f>1883+1883+1229+1229</f>
        <v>6224</v>
      </c>
      <c r="H149" s="21">
        <f>Table378[[#This Row],[FEET5]]/5280</f>
        <v>0</v>
      </c>
      <c r="I149" s="21"/>
      <c r="J149" s="29">
        <f>Table378[[#This Row],[FEET7]]/5280</f>
        <v>1.2856060606060606</v>
      </c>
      <c r="K149" s="29">
        <f>139+139+136+136+1884+1884+1235+1235</f>
        <v>6788</v>
      </c>
      <c r="L149" s="22">
        <f>Table378[[#This Row],[FEET9]]/5280</f>
        <v>0.78560227272727268</v>
      </c>
      <c r="M149" s="13">
        <f>1054+1054+151+169+1719.98</f>
        <v>4147.9799999999996</v>
      </c>
    </row>
    <row r="150" spans="1:13" ht="15.75" thickBot="1" x14ac:dyDescent="0.3">
      <c r="A150" s="30"/>
      <c r="B150" s="31" t="s">
        <v>28</v>
      </c>
      <c r="C150" s="31" t="s">
        <v>180</v>
      </c>
      <c r="D150" s="28"/>
      <c r="E150" s="28"/>
      <c r="F150" s="23">
        <f>Table378[[#This Row],[FEET3]]/5280</f>
        <v>0.29715909090909093</v>
      </c>
      <c r="G150" s="23">
        <v>1569</v>
      </c>
      <c r="H150" s="24">
        <f>Table378[[#This Row],[FEET5]]/5280</f>
        <v>0</v>
      </c>
      <c r="I150" s="24"/>
      <c r="J150" s="28">
        <f>Table378[[#This Row],[FEET7]]/5280</f>
        <v>0.35852272727272727</v>
      </c>
      <c r="K150" s="28">
        <v>1893</v>
      </c>
      <c r="L150" s="25">
        <f>Table378[[#This Row],[FEET9]]/5280</f>
        <v>9.0909090909090912E-2</v>
      </c>
      <c r="M150" s="15">
        <v>480</v>
      </c>
    </row>
    <row r="151" spans="1:13" ht="15.75" thickBot="1" x14ac:dyDescent="0.3">
      <c r="A151" s="30"/>
      <c r="B151" s="27" t="s">
        <v>28</v>
      </c>
      <c r="C151" s="27" t="s">
        <v>181</v>
      </c>
      <c r="D151" s="28"/>
      <c r="E151" s="29"/>
      <c r="F151" s="23">
        <f>Table378[[#This Row],[FEET3]]/5280</f>
        <v>0.47992424242424242</v>
      </c>
      <c r="G151" s="20">
        <f>1267*2</f>
        <v>2534</v>
      </c>
      <c r="H151" s="21">
        <f>Table378[[#This Row],[FEET5]]/5280</f>
        <v>0</v>
      </c>
      <c r="I151" s="21"/>
      <c r="J151" s="29">
        <f>Table378[[#This Row],[FEET7]]/5280</f>
        <v>0.53106060606060601</v>
      </c>
      <c r="K151" s="29">
        <v>2804</v>
      </c>
      <c r="L151" s="22">
        <f>Table378[[#This Row],[FEET9]]/5280</f>
        <v>0.45321969696969699</v>
      </c>
      <c r="M151" s="13">
        <f>(1126*2)+(1267-1126)</f>
        <v>2393</v>
      </c>
    </row>
    <row r="152" spans="1:13" ht="15.75" thickBot="1" x14ac:dyDescent="0.3">
      <c r="A152" s="30"/>
      <c r="B152" s="65" t="s">
        <v>30</v>
      </c>
      <c r="C152" s="31" t="s">
        <v>267</v>
      </c>
      <c r="D152" s="28"/>
      <c r="E152" s="28"/>
      <c r="F152" s="23">
        <f>Table378[[#This Row],[FEET3]]/5280</f>
        <v>3.7801136363636365</v>
      </c>
      <c r="G152" s="23">
        <f>14989+4970</f>
        <v>19959</v>
      </c>
      <c r="H152" s="24">
        <f>Table378[[#This Row],[FEET5]]/5280</f>
        <v>0.55397727272727271</v>
      </c>
      <c r="I152" s="24">
        <v>2925</v>
      </c>
      <c r="J152" s="28">
        <f>Table378[[#This Row],[FEET7]]/5280</f>
        <v>8.3840909090909097</v>
      </c>
      <c r="K152" s="28">
        <f>38265+6003</f>
        <v>44268</v>
      </c>
      <c r="L152" s="25">
        <f>Table378[[#This Row],[FEET9]]/5280</f>
        <v>0</v>
      </c>
      <c r="M152" s="15"/>
    </row>
    <row r="153" spans="1:13" ht="15.75" thickBot="1" x14ac:dyDescent="0.3">
      <c r="A153" s="30"/>
      <c r="B153" s="27" t="s">
        <v>16</v>
      </c>
      <c r="C153" s="27" t="s">
        <v>182</v>
      </c>
      <c r="D153" s="28"/>
      <c r="E153" s="29"/>
      <c r="F153" s="23">
        <f>Table378[[#This Row],[FEET3]]/5280</f>
        <v>0.62821969696969693</v>
      </c>
      <c r="G153" s="20">
        <v>3317</v>
      </c>
      <c r="H153" s="21">
        <f>Table378[[#This Row],[FEET5]]/5280</f>
        <v>0.44318181818181818</v>
      </c>
      <c r="I153" s="21">
        <v>2340</v>
      </c>
      <c r="J153" s="28">
        <f>Table378[[#This Row],[FEET7]]/5280</f>
        <v>0</v>
      </c>
      <c r="K153" s="28"/>
      <c r="L153" s="25">
        <f>Table378[[#This Row],[FEET9]]/5280</f>
        <v>0</v>
      </c>
      <c r="M153" s="15"/>
    </row>
    <row r="154" spans="1:13" ht="15.75" thickBot="1" x14ac:dyDescent="0.3">
      <c r="A154" s="30"/>
      <c r="B154" s="31" t="s">
        <v>16</v>
      </c>
      <c r="C154" s="31" t="s">
        <v>183</v>
      </c>
      <c r="D154" s="28"/>
      <c r="E154" s="28"/>
      <c r="F154" s="23">
        <f>Table378[[#This Row],[FEET3]]/5280</f>
        <v>0.17537878787878788</v>
      </c>
      <c r="G154" s="23">
        <f>463*2</f>
        <v>926</v>
      </c>
      <c r="H154" s="24">
        <f>Table378[[#This Row],[FEET5]]/5280</f>
        <v>0</v>
      </c>
      <c r="I154" s="24"/>
      <c r="J154" s="28">
        <f>Table378[[#This Row],[FEET7]]/5280</f>
        <v>0.17537878787878788</v>
      </c>
      <c r="K154" s="28">
        <v>926</v>
      </c>
      <c r="L154" s="25">
        <f>Table378[[#This Row],[FEET9]]/5280</f>
        <v>0</v>
      </c>
      <c r="M154" s="15"/>
    </row>
    <row r="155" spans="1:13" ht="15.75" thickBot="1" x14ac:dyDescent="0.3">
      <c r="A155" s="30"/>
      <c r="B155" s="27" t="s">
        <v>147</v>
      </c>
      <c r="C155" s="27" t="s">
        <v>184</v>
      </c>
      <c r="D155" s="28"/>
      <c r="E155" s="29"/>
      <c r="F155" s="23">
        <f>Table378[[#This Row],[FEET3]]/5280</f>
        <v>0.39166666666666666</v>
      </c>
      <c r="G155" s="20">
        <f>166+166+868+868</f>
        <v>2068</v>
      </c>
      <c r="H155" s="21">
        <f>Table378[[#This Row],[FEET5]]/5280</f>
        <v>0.52556818181818177</v>
      </c>
      <c r="I155" s="21">
        <f>868+1334+573</f>
        <v>2775</v>
      </c>
      <c r="J155" s="29">
        <f>Table378[[#This Row],[FEET7]]/5280</f>
        <v>0</v>
      </c>
      <c r="K155" s="29"/>
      <c r="L155" s="22">
        <f>Table378[[#This Row],[FEET9]]/5280</f>
        <v>0</v>
      </c>
      <c r="M155" s="13"/>
    </row>
    <row r="156" spans="1:13" ht="15.75" thickBot="1" x14ac:dyDescent="0.3">
      <c r="A156" s="30"/>
      <c r="B156" s="31" t="s">
        <v>32</v>
      </c>
      <c r="C156" s="31" t="s">
        <v>185</v>
      </c>
      <c r="D156" s="28"/>
      <c r="E156" s="28"/>
      <c r="F156" s="23">
        <f>Table378[[#This Row],[FEET3]]/5280</f>
        <v>1.655871212121212</v>
      </c>
      <c r="G156" s="23">
        <v>8743</v>
      </c>
      <c r="H156" s="24">
        <f>Table378[[#This Row],[FEET5]]/5280</f>
        <v>0.14147727272727273</v>
      </c>
      <c r="I156" s="24">
        <v>747</v>
      </c>
      <c r="J156" s="28">
        <f>Table378[[#This Row],[FEET7]]/5280</f>
        <v>2.9532196969696969</v>
      </c>
      <c r="K156" s="28">
        <v>15593</v>
      </c>
      <c r="L156" s="25">
        <f>Table378[[#This Row],[FEET9]]/5280</f>
        <v>0.12401515151515151</v>
      </c>
      <c r="M156" s="15">
        <v>654.79999999999995</v>
      </c>
    </row>
    <row r="157" spans="1:13" ht="15.75" thickBot="1" x14ac:dyDescent="0.3">
      <c r="A157" s="30"/>
      <c r="B157" s="27" t="s">
        <v>32</v>
      </c>
      <c r="C157" s="27" t="s">
        <v>186</v>
      </c>
      <c r="D157" s="28"/>
      <c r="E157" s="29"/>
      <c r="F157" s="23">
        <f>Table378[[#This Row],[FEET3]]/5280</f>
        <v>0.61363636363636365</v>
      </c>
      <c r="G157" s="20">
        <v>3240</v>
      </c>
      <c r="H157" s="21">
        <f>Table378[[#This Row],[FEET5]]/5280</f>
        <v>0.29166666666666669</v>
      </c>
      <c r="I157" s="21">
        <v>1540</v>
      </c>
      <c r="J157" s="29">
        <f>Table378[[#This Row],[FEET7]]/5280</f>
        <v>0</v>
      </c>
      <c r="K157" s="29"/>
      <c r="L157" s="22">
        <f>Table378[[#This Row],[FEET9]]/5280</f>
        <v>0</v>
      </c>
      <c r="M157" s="13"/>
    </row>
    <row r="158" spans="1:13" ht="15.75" thickBot="1" x14ac:dyDescent="0.3">
      <c r="A158" s="30"/>
      <c r="B158" s="31" t="s">
        <v>26</v>
      </c>
      <c r="C158" s="31" t="s">
        <v>110</v>
      </c>
      <c r="D158" s="28"/>
      <c r="E158" s="28"/>
      <c r="F158" s="23">
        <f>Table378[[#This Row],[FEET3]]/5280</f>
        <v>0.48200757575757575</v>
      </c>
      <c r="G158" s="23">
        <v>2545</v>
      </c>
      <c r="H158" s="24">
        <f>Table378[[#This Row],[FEET5]]/5280</f>
        <v>0</v>
      </c>
      <c r="I158" s="24"/>
      <c r="J158" s="28">
        <f>Table378[[#This Row],[FEET7]]/5280</f>
        <v>0.33787878787878789</v>
      </c>
      <c r="K158" s="28">
        <v>1784</v>
      </c>
      <c r="L158" s="25">
        <f>Table378[[#This Row],[FEET9]]/5280</f>
        <v>0</v>
      </c>
      <c r="M158" s="15"/>
    </row>
    <row r="159" spans="1:13" ht="15.75" thickBot="1" x14ac:dyDescent="0.3">
      <c r="A159" s="5" t="s">
        <v>241</v>
      </c>
      <c r="B159" s="5"/>
      <c r="C159" s="5"/>
      <c r="D159" s="6"/>
      <c r="E159" s="7"/>
      <c r="F159" s="9">
        <f>Table378[[#This Row],[FEET3]]/5280</f>
        <v>0</v>
      </c>
      <c r="G159" s="10"/>
      <c r="H159" s="11">
        <f>Table378[[#This Row],[FEET5]]/5280</f>
        <v>0</v>
      </c>
      <c r="I159" s="12"/>
      <c r="J159" s="6">
        <f>Table378[[#This Row],[FEET7]]/5280</f>
        <v>0</v>
      </c>
      <c r="K159" s="7"/>
      <c r="L159" s="13">
        <f>Table378[[#This Row],[FEET9]]/5280</f>
        <v>0</v>
      </c>
      <c r="M159" s="14"/>
    </row>
    <row r="160" spans="1:13" ht="15.75" thickBot="1" x14ac:dyDescent="0.3">
      <c r="A160" s="26"/>
      <c r="B160" s="27" t="s">
        <v>12</v>
      </c>
      <c r="C160" s="27" t="s">
        <v>187</v>
      </c>
      <c r="D160" s="28"/>
      <c r="E160" s="29"/>
      <c r="F160" s="23">
        <f>Table378[[#This Row],[FEET3]]/5280</f>
        <v>0.95246212121212126</v>
      </c>
      <c r="G160" s="20">
        <v>5029</v>
      </c>
      <c r="H160" s="21">
        <f>Table378[[#This Row],[FEET5]]/5280</f>
        <v>0</v>
      </c>
      <c r="I160" s="21"/>
      <c r="J160" s="29">
        <f>Table378[[#This Row],[FEET7]]/5280</f>
        <v>0</v>
      </c>
      <c r="K160" s="29"/>
      <c r="L160" s="22">
        <f>Table378[[#This Row],[FEET9]]/5280</f>
        <v>0</v>
      </c>
      <c r="M160" s="13"/>
    </row>
    <row r="161" spans="1:13" ht="15.75" thickBot="1" x14ac:dyDescent="0.3">
      <c r="A161" s="26"/>
      <c r="B161" s="31" t="s">
        <v>10</v>
      </c>
      <c r="C161" s="31" t="s">
        <v>217</v>
      </c>
      <c r="D161" s="28"/>
      <c r="E161" s="28"/>
      <c r="F161" s="23">
        <f>Table378[[#This Row],[FEET3]]/5280</f>
        <v>0.74829545454545454</v>
      </c>
      <c r="G161" s="23">
        <v>3951</v>
      </c>
      <c r="H161" s="24">
        <f>Table378[[#This Row],[FEET5]]/5280</f>
        <v>0.16193181818181818</v>
      </c>
      <c r="I161" s="24">
        <v>855</v>
      </c>
      <c r="J161" s="28">
        <f>Table378[[#This Row],[FEET7]]/5280</f>
        <v>0</v>
      </c>
      <c r="K161" s="28"/>
      <c r="L161" s="25">
        <f>Table378[[#This Row],[FEET9]]/5280</f>
        <v>0</v>
      </c>
      <c r="M161" s="15"/>
    </row>
    <row r="162" spans="1:13" ht="15.75" thickBot="1" x14ac:dyDescent="0.3">
      <c r="A162" s="26"/>
      <c r="B162" s="27" t="s">
        <v>17</v>
      </c>
      <c r="C162" s="27" t="s">
        <v>218</v>
      </c>
      <c r="D162" s="28"/>
      <c r="E162" s="29"/>
      <c r="F162" s="23">
        <f>Table378[[#This Row],[FEET3]]/5280</f>
        <v>0.95227272727272727</v>
      </c>
      <c r="G162" s="20">
        <v>5028</v>
      </c>
      <c r="H162" s="21">
        <f>Table378[[#This Row],[FEET5]]/5280</f>
        <v>0.13636363636363635</v>
      </c>
      <c r="I162" s="21">
        <v>720</v>
      </c>
      <c r="J162" s="29">
        <f>Table378[[#This Row],[FEET7]]/5280</f>
        <v>0</v>
      </c>
      <c r="K162" s="29"/>
      <c r="L162" s="22">
        <f>Table378[[#This Row],[FEET9]]/5280</f>
        <v>0</v>
      </c>
      <c r="M162" s="13"/>
    </row>
    <row r="163" spans="1:13" ht="15.75" thickBot="1" x14ac:dyDescent="0.3">
      <c r="A163" s="35"/>
      <c r="B163" s="27" t="s">
        <v>257</v>
      </c>
      <c r="C163" s="31" t="s">
        <v>46</v>
      </c>
      <c r="D163" s="28"/>
      <c r="E163" s="28"/>
      <c r="F163" s="23">
        <f>Table378[[#This Row],[FEET3]]/5280</f>
        <v>0.37859848484848485</v>
      </c>
      <c r="G163" s="23">
        <v>1999</v>
      </c>
      <c r="H163" s="24">
        <f>Table378[[#This Row],[FEET5]]/5280</f>
        <v>0.2422348484848485</v>
      </c>
      <c r="I163" s="24">
        <v>1279</v>
      </c>
      <c r="J163" s="28">
        <f>Table378[[#This Row],[FEET7]]/5280</f>
        <v>0</v>
      </c>
      <c r="K163" s="28"/>
      <c r="L163" s="25">
        <f>Table378[[#This Row],[FEET9]]/5280</f>
        <v>0</v>
      </c>
      <c r="M163" s="15"/>
    </row>
    <row r="164" spans="1:13" ht="15.75" thickBot="1" x14ac:dyDescent="0.3">
      <c r="A164" s="26"/>
      <c r="B164" s="31" t="s">
        <v>159</v>
      </c>
      <c r="C164" s="31" t="s">
        <v>188</v>
      </c>
      <c r="D164" s="28"/>
      <c r="E164" s="28"/>
      <c r="F164" s="23">
        <f>Table378[[#This Row],[FEET3]]/5280</f>
        <v>1.6606060606060606</v>
      </c>
      <c r="G164" s="23">
        <f>651+738+754+621+543+1018+381+374+374+843+843+657+570+401</f>
        <v>8768</v>
      </c>
      <c r="H164" s="24">
        <f>Table378[[#This Row],[FEET5]]/5280</f>
        <v>3.9696969696969697</v>
      </c>
      <c r="I164" s="24">
        <f>651+3808+738+754+3815+621+543+859+1018+1928+781+3604+657+570+212+401</f>
        <v>20960</v>
      </c>
      <c r="J164" s="28">
        <f>Table378[[#This Row],[FEET7]]/5280</f>
        <v>0</v>
      </c>
      <c r="K164" s="28"/>
      <c r="L164" s="25">
        <f>Table378[[#This Row],[FEET9]]/5280</f>
        <v>0</v>
      </c>
      <c r="M164" s="15"/>
    </row>
    <row r="165" spans="1:13" ht="15.75" thickBot="1" x14ac:dyDescent="0.3">
      <c r="A165" s="5" t="s">
        <v>242</v>
      </c>
      <c r="B165" s="5"/>
      <c r="C165" s="5"/>
      <c r="D165" s="6"/>
      <c r="E165" s="7"/>
      <c r="F165" s="9">
        <f>Table378[[#This Row],[FEET3]]/5280</f>
        <v>0</v>
      </c>
      <c r="G165" s="10"/>
      <c r="H165" s="11">
        <f>Table378[[#This Row],[FEET5]]/5280</f>
        <v>0</v>
      </c>
      <c r="I165" s="12"/>
      <c r="J165" s="6">
        <f>Table378[[#This Row],[FEET7]]/5280</f>
        <v>0</v>
      </c>
      <c r="K165" s="7"/>
      <c r="L165" s="13">
        <f>Table378[[#This Row],[FEET9]]/5280</f>
        <v>0</v>
      </c>
      <c r="M165" s="14"/>
    </row>
    <row r="166" spans="1:13" ht="15.75" thickBot="1" x14ac:dyDescent="0.3">
      <c r="A166" s="30"/>
      <c r="B166" s="8" t="s">
        <v>26</v>
      </c>
      <c r="C166" s="31" t="s">
        <v>246</v>
      </c>
      <c r="D166" s="28"/>
      <c r="E166" s="28"/>
      <c r="F166" s="23">
        <f>Table378[[#This Row],[FEET3]]/5280</f>
        <v>1.812878787878788</v>
      </c>
      <c r="G166" s="23">
        <v>9572</v>
      </c>
      <c r="H166" s="24">
        <f>Table378[[#This Row],[FEET5]]/5280</f>
        <v>0.22670454545454546</v>
      </c>
      <c r="I166" s="24">
        <v>1197</v>
      </c>
      <c r="J166" s="28">
        <f>Table378[[#This Row],[FEET7]]/5280</f>
        <v>1.812878787878788</v>
      </c>
      <c r="K166" s="28">
        <v>9572</v>
      </c>
      <c r="L166" s="25">
        <f>Table378[[#This Row],[FEET9]]/5280</f>
        <v>0</v>
      </c>
      <c r="M166" s="15"/>
    </row>
    <row r="167" spans="1:13" ht="15.75" thickBot="1" x14ac:dyDescent="0.3">
      <c r="A167" s="30"/>
      <c r="B167" s="27" t="s">
        <v>21</v>
      </c>
      <c r="C167" s="27" t="s">
        <v>203</v>
      </c>
      <c r="D167" s="28"/>
      <c r="E167" s="29"/>
      <c r="F167" s="23">
        <f>Table378[[#This Row],[FEET3]]/5280</f>
        <v>2.1615530303030304</v>
      </c>
      <c r="G167" s="20">
        <v>11413</v>
      </c>
      <c r="H167" s="21">
        <f>Table378[[#This Row],[FEET5]]/5280</f>
        <v>0.12727272727272726</v>
      </c>
      <c r="I167" s="21">
        <v>672</v>
      </c>
      <c r="J167" s="29">
        <f>Table378[[#This Row],[FEET7]]/5280</f>
        <v>0.45511363636363639</v>
      </c>
      <c r="K167" s="29">
        <v>2403</v>
      </c>
      <c r="L167" s="22">
        <f>Table378[[#This Row],[FEET9]]/5280</f>
        <v>0</v>
      </c>
      <c r="M167" s="13"/>
    </row>
    <row r="168" spans="1:13" ht="15.75" thickBot="1" x14ac:dyDescent="0.3">
      <c r="A168" s="30"/>
      <c r="B168" s="31" t="s">
        <v>25</v>
      </c>
      <c r="C168" s="31" t="s">
        <v>61</v>
      </c>
      <c r="D168" s="28"/>
      <c r="E168" s="28"/>
      <c r="F168" s="23">
        <f>Table378[[#This Row],[FEET3]]/5280</f>
        <v>4.4587121212121215</v>
      </c>
      <c r="G168" s="23">
        <v>23542</v>
      </c>
      <c r="H168" s="24">
        <f>Table378[[#This Row],[FEET5]]/5280</f>
        <v>0.12613636363636363</v>
      </c>
      <c r="I168" s="24">
        <v>666</v>
      </c>
      <c r="J168" s="28">
        <f>Table378[[#This Row],[FEET7]]/5280</f>
        <v>5.2515151515151519</v>
      </c>
      <c r="K168" s="28">
        <v>27728</v>
      </c>
      <c r="L168" s="25">
        <f>Table378[[#This Row],[FEET9]]/5280</f>
        <v>0</v>
      </c>
      <c r="M168" s="15"/>
    </row>
    <row r="169" spans="1:13" ht="15.75" thickBot="1" x14ac:dyDescent="0.3">
      <c r="A169" s="30"/>
      <c r="B169" s="27" t="s">
        <v>28</v>
      </c>
      <c r="C169" s="27" t="s">
        <v>33</v>
      </c>
      <c r="D169" s="28"/>
      <c r="E169" s="29"/>
      <c r="F169" s="23">
        <f>Table378[[#This Row],[FEET3]]/5280</f>
        <v>3.3212121212121213</v>
      </c>
      <c r="G169" s="20">
        <v>17536</v>
      </c>
      <c r="H169" s="21">
        <f>Table378[[#This Row],[FEET5]]/5280</f>
        <v>0.2037878787878788</v>
      </c>
      <c r="I169" s="21">
        <v>1076</v>
      </c>
      <c r="J169" s="29">
        <f>Table378[[#This Row],[FEET7]]/5280</f>
        <v>6.1731060606060604</v>
      </c>
      <c r="K169" s="29">
        <v>32594</v>
      </c>
      <c r="L169" s="22">
        <f>Table378[[#This Row],[FEET9]]/5280</f>
        <v>0.19109848484848485</v>
      </c>
      <c r="M169" s="13">
        <v>1009</v>
      </c>
    </row>
    <row r="170" spans="1:13" ht="15.75" thickBot="1" x14ac:dyDescent="0.3">
      <c r="A170" s="30"/>
      <c r="B170" s="31" t="s">
        <v>40</v>
      </c>
      <c r="C170" s="31" t="s">
        <v>189</v>
      </c>
      <c r="D170" s="28"/>
      <c r="E170" s="28"/>
      <c r="F170" s="23">
        <f>Table378[[#This Row],[FEET3]]/5280</f>
        <v>0.47897727272727275</v>
      </c>
      <c r="G170" s="23">
        <f>516+516+498+747+252</f>
        <v>2529</v>
      </c>
      <c r="H170" s="24">
        <f>Table378[[#This Row],[FEET5]]/5280</f>
        <v>0.48143939393939394</v>
      </c>
      <c r="I170" s="24">
        <f>498+707+747+338+252</f>
        <v>2542</v>
      </c>
      <c r="J170" s="28">
        <f>Table378[[#This Row],[FEET7]]/5280</f>
        <v>0</v>
      </c>
      <c r="K170" s="28"/>
      <c r="L170" s="25">
        <f>Table378[[#This Row],[FEET9]]/5280</f>
        <v>0</v>
      </c>
      <c r="M170" s="15"/>
    </row>
    <row r="171" spans="1:13" ht="15.75" thickBot="1" x14ac:dyDescent="0.3">
      <c r="A171" s="30"/>
      <c r="B171" s="27" t="s">
        <v>49</v>
      </c>
      <c r="C171" s="27" t="s">
        <v>190</v>
      </c>
      <c r="D171" s="28"/>
      <c r="E171" s="29"/>
      <c r="F171" s="23">
        <f>Table378[[#This Row],[FEET3]]/5280</f>
        <v>2.3087121212121211</v>
      </c>
      <c r="G171" s="20">
        <v>12190</v>
      </c>
      <c r="H171" s="21">
        <f>Table378[[#This Row],[FEET5]]/5280</f>
        <v>0.3443181818181818</v>
      </c>
      <c r="I171" s="21">
        <v>1818</v>
      </c>
      <c r="J171" s="29">
        <f>Table378[[#This Row],[FEET7]]/5280</f>
        <v>0</v>
      </c>
      <c r="K171" s="29"/>
      <c r="L171" s="22">
        <f>Table378[[#This Row],[FEET9]]/5280</f>
        <v>0</v>
      </c>
      <c r="M171" s="13"/>
    </row>
    <row r="172" spans="1:13" ht="15.75" thickBot="1" x14ac:dyDescent="0.3">
      <c r="A172" s="30"/>
      <c r="B172" s="8" t="s">
        <v>191</v>
      </c>
      <c r="C172" s="31" t="s">
        <v>260</v>
      </c>
      <c r="D172" s="28"/>
      <c r="E172" s="28"/>
      <c r="F172" s="23">
        <f>Table378[[#This Row],[FEET3]]/5280</f>
        <v>3.3844696969696968</v>
      </c>
      <c r="G172" s="23">
        <v>17870</v>
      </c>
      <c r="H172" s="24">
        <f>Table378[[#This Row],[FEET5]]/5280</f>
        <v>9.8484848484848481E-2</v>
      </c>
      <c r="I172" s="24">
        <v>520</v>
      </c>
      <c r="J172" s="28">
        <f>Table378[[#This Row],[FEET7]]/5280</f>
        <v>0.48484848484848486</v>
      </c>
      <c r="K172" s="28">
        <v>2560</v>
      </c>
      <c r="L172" s="25">
        <f>Table378[[#This Row],[FEET9]]/5280</f>
        <v>0</v>
      </c>
      <c r="M172" s="15"/>
    </row>
    <row r="173" spans="1:13" ht="15.75" thickBot="1" x14ac:dyDescent="0.3">
      <c r="A173" s="26"/>
      <c r="B173" s="27" t="s">
        <v>154</v>
      </c>
      <c r="C173" s="27" t="s">
        <v>261</v>
      </c>
      <c r="D173" s="29"/>
      <c r="E173" s="29"/>
      <c r="F173" s="20">
        <f>Table378[[#This Row],[FEET3]]/5280</f>
        <v>4.78</v>
      </c>
      <c r="G173" s="20">
        <v>25238.400000000001</v>
      </c>
      <c r="H173" s="21">
        <f>Table378[[#This Row],[FEET5]]/5280</f>
        <v>0</v>
      </c>
      <c r="I173" s="21"/>
      <c r="J173" s="29">
        <f>Table378[[#This Row],[FEET7]]/5280</f>
        <v>4.78</v>
      </c>
      <c r="K173" s="29">
        <v>25238.400000000001</v>
      </c>
      <c r="L173" s="22">
        <f>Table378[[#This Row],[FEET9]]/5280</f>
        <v>1.1949810606060607</v>
      </c>
      <c r="M173" s="13">
        <v>6309.5</v>
      </c>
    </row>
    <row r="174" spans="1:13" ht="15.75" thickBot="1" x14ac:dyDescent="0.3">
      <c r="A174" s="26"/>
      <c r="B174" s="27" t="s">
        <v>154</v>
      </c>
      <c r="C174" s="27" t="s">
        <v>262</v>
      </c>
      <c r="D174" s="29"/>
      <c r="E174" s="29"/>
      <c r="F174" s="20">
        <f>Table378[[#This Row],[FEET3]]/5280</f>
        <v>2.2200000000000002</v>
      </c>
      <c r="G174" s="20">
        <v>11721.6</v>
      </c>
      <c r="H174" s="21">
        <f>Table378[[#This Row],[FEET5]]/5280</f>
        <v>0</v>
      </c>
      <c r="I174" s="21"/>
      <c r="J174" s="29">
        <f>Table378[[#This Row],[FEET7]]/5280</f>
        <v>2.958257575757576</v>
      </c>
      <c r="K174" s="29">
        <v>15619.6</v>
      </c>
      <c r="L174" s="22">
        <f>Table378[[#This Row],[FEET9]]/5280</f>
        <v>0.55500000000000005</v>
      </c>
      <c r="M174" s="13">
        <v>2930.4</v>
      </c>
    </row>
    <row r="175" spans="1:13" ht="15.75" thickBot="1" x14ac:dyDescent="0.3">
      <c r="A175" s="30"/>
      <c r="B175" s="65" t="s">
        <v>268</v>
      </c>
      <c r="C175" s="31" t="s">
        <v>269</v>
      </c>
      <c r="D175" s="28"/>
      <c r="E175" s="28"/>
      <c r="F175" s="23">
        <f>Table378[[#This Row],[FEET3]]/5280</f>
        <v>1.3409090909090908</v>
      </c>
      <c r="G175" s="23">
        <v>7080</v>
      </c>
      <c r="H175" s="24">
        <f>Table378[[#This Row],[FEET5]]/5280</f>
        <v>9.4696969696969696E-2</v>
      </c>
      <c r="I175" s="24">
        <v>500</v>
      </c>
      <c r="J175" s="28">
        <f>Table378[[#This Row],[FEET7]]/5280</f>
        <v>2.372348484848485</v>
      </c>
      <c r="K175" s="28">
        <v>12526</v>
      </c>
      <c r="L175" s="25">
        <f>Table378[[#This Row],[FEET9]]/5280</f>
        <v>0.18465909090909091</v>
      </c>
      <c r="M175" s="15">
        <v>975</v>
      </c>
    </row>
    <row r="176" spans="1:13" ht="15.75" thickBot="1" x14ac:dyDescent="0.3">
      <c r="A176" s="30"/>
      <c r="B176" s="31" t="s">
        <v>192</v>
      </c>
      <c r="C176" s="31" t="s">
        <v>193</v>
      </c>
      <c r="D176" s="28"/>
      <c r="E176" s="28"/>
      <c r="F176" s="23">
        <f>Table378[[#This Row],[FEET3]]/5280</f>
        <v>1.4804924242424242</v>
      </c>
      <c r="G176" s="23">
        <f>535+535+1526+544+365+2156+2156</f>
        <v>7817</v>
      </c>
      <c r="H176" s="24">
        <f>Table378[[#This Row],[FEET5]]/5280</f>
        <v>0.52746212121212122</v>
      </c>
      <c r="I176" s="24">
        <f>1526+544+350+365</f>
        <v>2785</v>
      </c>
      <c r="J176" s="28"/>
      <c r="K176" s="28"/>
      <c r="L176" s="25"/>
      <c r="M176" s="15"/>
    </row>
    <row r="177" spans="1:15" ht="15.75" thickBot="1" x14ac:dyDescent="0.3">
      <c r="A177" s="5" t="s">
        <v>243</v>
      </c>
      <c r="B177" s="5"/>
      <c r="C177" s="5"/>
      <c r="D177" s="6"/>
      <c r="E177" s="7"/>
      <c r="F177" s="9">
        <f>Table378[[#This Row],[FEET3]]/5280</f>
        <v>0</v>
      </c>
      <c r="G177" s="10"/>
      <c r="H177" s="11">
        <f>Table378[[#This Row],[FEET5]]/5280</f>
        <v>0</v>
      </c>
      <c r="I177" s="12"/>
      <c r="J177" s="6">
        <f>Table378[[#This Row],[FEET7]]/5280</f>
        <v>0</v>
      </c>
      <c r="K177" s="7"/>
      <c r="L177" s="13">
        <f>Table378[[#This Row],[FEET9]]/5280</f>
        <v>0</v>
      </c>
      <c r="M177" s="14"/>
    </row>
    <row r="178" spans="1:15" ht="15.75" thickBot="1" x14ac:dyDescent="0.3">
      <c r="A178" s="26"/>
      <c r="B178" s="27" t="s">
        <v>124</v>
      </c>
      <c r="C178" s="27" t="s">
        <v>195</v>
      </c>
      <c r="D178" s="28"/>
      <c r="E178" s="29"/>
      <c r="F178" s="23">
        <f>Table378[[#This Row],[FEET3]]/5280</f>
        <v>0.54015151515151516</v>
      </c>
      <c r="G178" s="20">
        <f>1426+1426</f>
        <v>2852</v>
      </c>
      <c r="H178" s="21">
        <f>Table378[[#This Row],[FEET5]]/5280</f>
        <v>0</v>
      </c>
      <c r="I178" s="21"/>
      <c r="J178" s="29">
        <f>Table378[[#This Row],[FEET7]]/5280</f>
        <v>0</v>
      </c>
      <c r="K178" s="29"/>
      <c r="L178" s="22">
        <f>Table378[[#This Row],[FEET9]]/5280</f>
        <v>0</v>
      </c>
      <c r="M178" s="13"/>
    </row>
    <row r="179" spans="1:15" ht="15.75" thickBot="1" x14ac:dyDescent="0.3">
      <c r="A179" s="26"/>
      <c r="B179" s="27" t="s">
        <v>102</v>
      </c>
      <c r="C179" s="27" t="s">
        <v>194</v>
      </c>
      <c r="D179" s="29"/>
      <c r="E179" s="29"/>
      <c r="F179" s="20">
        <f>Table378[[#This Row],[FEET3]]/5280</f>
        <v>1.9806818181818182</v>
      </c>
      <c r="G179" s="20">
        <f>5229+5229</f>
        <v>10458</v>
      </c>
      <c r="H179" s="21">
        <f>Table378[[#This Row],[FEET5]]/5280</f>
        <v>0</v>
      </c>
      <c r="I179" s="21"/>
      <c r="J179" s="29">
        <f>Table378[[#This Row],[FEET7]]/5280</f>
        <v>0</v>
      </c>
      <c r="K179" s="29"/>
      <c r="L179" s="22">
        <f>Table378[[#This Row],[FEET9]]/5280</f>
        <v>0</v>
      </c>
      <c r="M179" s="13"/>
    </row>
    <row r="180" spans="1:15" ht="15.75" thickBot="1" x14ac:dyDescent="0.3">
      <c r="A180" s="26"/>
      <c r="B180" s="27" t="s">
        <v>25</v>
      </c>
      <c r="C180" s="27" t="s">
        <v>233</v>
      </c>
      <c r="D180" s="29"/>
      <c r="E180" s="29"/>
      <c r="F180" s="20">
        <f>Table378[[#This Row],[FEET3]]/5280</f>
        <v>9.1410984848484844</v>
      </c>
      <c r="G180" s="20">
        <v>48265</v>
      </c>
      <c r="H180" s="21">
        <f>Table378[[#This Row],[FEET5]]/5280</f>
        <v>0.37670454545454546</v>
      </c>
      <c r="I180" s="21">
        <v>1989</v>
      </c>
      <c r="J180" s="29">
        <f>Table378[[#This Row],[FEET7]]/5280</f>
        <v>0</v>
      </c>
      <c r="K180" s="29"/>
      <c r="L180" s="22">
        <f>Table378[[#This Row],[FEET9]]/5280</f>
        <v>0</v>
      </c>
      <c r="M180" s="13"/>
    </row>
    <row r="181" spans="1:15" ht="15.75" thickBot="1" x14ac:dyDescent="0.3">
      <c r="A181" s="26"/>
      <c r="B181" s="27" t="s">
        <v>124</v>
      </c>
      <c r="C181" s="27" t="s">
        <v>219</v>
      </c>
      <c r="D181" s="29"/>
      <c r="E181" s="29"/>
      <c r="F181" s="20">
        <f>Table378[[#This Row],[FEET3]]/5280</f>
        <v>5.0030303030303029</v>
      </c>
      <c r="G181" s="20">
        <f>12777+12777+431+431</f>
        <v>26416</v>
      </c>
      <c r="H181" s="21">
        <f>Table378[[#This Row],[FEET5]]/5280</f>
        <v>0.28484848484848485</v>
      </c>
      <c r="I181" s="21">
        <v>1504</v>
      </c>
      <c r="J181" s="29">
        <f>Table378[[#This Row],[FEET7]]/5280</f>
        <v>0</v>
      </c>
      <c r="K181" s="29"/>
      <c r="L181" s="22">
        <f>Table378[[#This Row],[FEET9]]/5280</f>
        <v>0</v>
      </c>
      <c r="M181" s="13"/>
    </row>
    <row r="182" spans="1:15" ht="15.75" thickBot="1" x14ac:dyDescent="0.3">
      <c r="A182" s="26"/>
      <c r="B182" s="27" t="s">
        <v>30</v>
      </c>
      <c r="C182" s="27" t="s">
        <v>220</v>
      </c>
      <c r="D182" s="29"/>
      <c r="E182" s="29"/>
      <c r="F182" s="20">
        <f>Table378[[#This Row],[FEET3]]/5280</f>
        <v>2.822159090909091</v>
      </c>
      <c r="G182" s="20">
        <v>14901</v>
      </c>
      <c r="H182" s="21">
        <f>Table378[[#This Row],[FEET5]]/5280</f>
        <v>0.57272727272727275</v>
      </c>
      <c r="I182" s="21">
        <v>3024</v>
      </c>
      <c r="J182" s="29">
        <f>Table378[[#This Row],[FEET7]]/5280</f>
        <v>0</v>
      </c>
      <c r="K182" s="29"/>
      <c r="L182" s="22">
        <f>Table378[[#This Row],[FEET9]]/5280</f>
        <v>0</v>
      </c>
      <c r="M182" s="13"/>
    </row>
    <row r="183" spans="1:15" ht="15.75" thickBot="1" x14ac:dyDescent="0.3">
      <c r="A183" s="26"/>
      <c r="B183" s="27" t="s">
        <v>35</v>
      </c>
      <c r="C183" s="27" t="s">
        <v>196</v>
      </c>
      <c r="D183" s="29"/>
      <c r="E183" s="29"/>
      <c r="F183" s="20">
        <f>Table378[[#This Row],[FEET3]]/5280</f>
        <v>1.8484848484848484</v>
      </c>
      <c r="G183" s="20">
        <v>9760</v>
      </c>
      <c r="H183" s="21">
        <f>Table378[[#This Row],[FEET5]]/5280</f>
        <v>0.49678030303030302</v>
      </c>
      <c r="I183" s="21">
        <v>2623</v>
      </c>
      <c r="J183" s="29">
        <f>Table378[[#This Row],[FEET7]]/5280</f>
        <v>4.6212121212121211E-2</v>
      </c>
      <c r="K183" s="29">
        <v>244</v>
      </c>
      <c r="L183" s="22">
        <f>Table378[[#This Row],[FEET9]]/5280</f>
        <v>0</v>
      </c>
      <c r="M183" s="13"/>
    </row>
    <row r="184" spans="1:15" ht="15.75" thickBot="1" x14ac:dyDescent="0.3">
      <c r="A184" s="26"/>
      <c r="B184" s="27" t="s">
        <v>49</v>
      </c>
      <c r="C184" s="27" t="s">
        <v>197</v>
      </c>
      <c r="D184" s="29"/>
      <c r="E184" s="29"/>
      <c r="F184" s="20">
        <f>Table378[[#This Row],[FEET3]]/5280</f>
        <v>4.9626893939393941</v>
      </c>
      <c r="G184" s="20">
        <f>1769+1769+349+1297+610+1123+322+322+568+350+287+287+3625+3625+4950+4950</f>
        <v>26203</v>
      </c>
      <c r="H184" s="21">
        <f>Table378[[#This Row],[FEET5]]/5280</f>
        <v>1.4888257575757575</v>
      </c>
      <c r="I184" s="21">
        <f>478+1297+583+1123+2253+568+495+365+349+350</f>
        <v>7861</v>
      </c>
      <c r="J184" s="29">
        <f>Table378[[#This Row],[FEET7]]/5280</f>
        <v>1.53125</v>
      </c>
      <c r="K184" s="29">
        <f>2597+1024+1024+1720+1720</f>
        <v>8085</v>
      </c>
      <c r="L184" s="22">
        <f>Table378[[#This Row],[FEET9]]/5280</f>
        <v>0</v>
      </c>
      <c r="M184" s="13"/>
    </row>
    <row r="185" spans="1:15" ht="15.75" thickBot="1" x14ac:dyDescent="0.3">
      <c r="A185" s="26"/>
      <c r="B185" s="27" t="s">
        <v>26</v>
      </c>
      <c r="C185" s="27" t="s">
        <v>198</v>
      </c>
      <c r="D185" s="29"/>
      <c r="E185" s="29"/>
      <c r="F185" s="20">
        <f>Table378[[#This Row],[FEET3]]/5280</f>
        <v>1.1549242424242425</v>
      </c>
      <c r="G185" s="20">
        <f>2543+2543+485+527</f>
        <v>6098</v>
      </c>
      <c r="H185" s="21">
        <f>Table378[[#This Row],[FEET5]]/5280</f>
        <v>0</v>
      </c>
      <c r="I185" s="21"/>
      <c r="J185" s="29">
        <f>Table378[[#This Row],[FEET7]]/5280</f>
        <v>0</v>
      </c>
      <c r="K185" s="29"/>
      <c r="L185" s="22">
        <f>Table378[[#This Row],[FEET9]]/5280</f>
        <v>0</v>
      </c>
      <c r="M185" s="13"/>
    </row>
    <row r="186" spans="1:15" x14ac:dyDescent="0.25">
      <c r="F186" s="1">
        <f>SUM(F6:F178)</f>
        <v>422.14267045454523</v>
      </c>
      <c r="G186" s="1">
        <f>SUM(G6:G178)</f>
        <v>2228913.3000000003</v>
      </c>
      <c r="H186" s="1">
        <f>SUM(H6:H178)</f>
        <v>55.976852272727271</v>
      </c>
      <c r="I186" s="1">
        <f>SUM(I6:I178)</f>
        <v>295557.77999999997</v>
      </c>
      <c r="J186" s="1">
        <f>SUM(J6:J178)</f>
        <v>242.89465340909098</v>
      </c>
      <c r="K186" s="1">
        <f>SUM(K6:K178)</f>
        <v>1282483.77</v>
      </c>
      <c r="L186" s="1">
        <f>SUM(L6:L178)</f>
        <v>11.699238636363638</v>
      </c>
      <c r="M186" s="1">
        <f>SUM(M6:M178)</f>
        <v>61771.98</v>
      </c>
      <c r="O186" s="1"/>
    </row>
    <row r="187" spans="1:15" x14ac:dyDescent="0.25">
      <c r="O187" s="1"/>
    </row>
    <row r="188" spans="1:15" x14ac:dyDescent="0.25">
      <c r="O188" s="1"/>
    </row>
    <row r="189" spans="1:15" x14ac:dyDescent="0.25">
      <c r="O189" s="1"/>
    </row>
  </sheetData>
  <mergeCells count="8">
    <mergeCell ref="J1:K3"/>
    <mergeCell ref="L1:M3"/>
    <mergeCell ref="A1:A3"/>
    <mergeCell ref="B1:B3"/>
    <mergeCell ref="C1:C3"/>
    <mergeCell ref="D1:E3"/>
    <mergeCell ref="F1:G3"/>
    <mergeCell ref="H1:I3"/>
  </mergeCells>
  <pageMargins left="0.7" right="0.7" top="0.75" bottom="0.75" header="0.3" footer="0.3"/>
  <pageSetup paperSize="258" scale="43" orientation="portrait" r:id="rId1"/>
  <headerFooter>
    <oddHeader>&amp;C2026 Pavement Marking Program &amp;RTotal Linear Pavement Markings</oddHeader>
  </headerFooter>
  <rowBreaks count="1" manualBreakCount="1">
    <brk id="10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Part 1</vt:lpstr>
      <vt:lpstr>2026 Part 2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Soto Luna</dc:creator>
  <cp:lastModifiedBy>Mario Soto Luna</cp:lastModifiedBy>
  <cp:lastPrinted>2026-03-18T20:25:03Z</cp:lastPrinted>
  <dcterms:created xsi:type="dcterms:W3CDTF">2024-02-16T19:57:28Z</dcterms:created>
  <dcterms:modified xsi:type="dcterms:W3CDTF">2026-03-18T20:26:08Z</dcterms:modified>
</cp:coreProperties>
</file>