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Publications\"/>
    </mc:Choice>
  </mc:AlternateContent>
  <xr:revisionPtr revIDLastSave="0" documentId="8_{B19F737C-3B40-43E4-B8D2-5CDA84DEC478}" xr6:coauthVersionLast="47" xr6:coauthVersionMax="47" xr10:uidLastSave="{00000000-0000-0000-0000-000000000000}"/>
  <bookViews>
    <workbookView xWindow="-120" yWindow="-120" windowWidth="29040" windowHeight="15720" activeTab="2" xr2:uid="{D754B9F8-55CA-4931-93C1-77228080DC70}"/>
  </bookViews>
  <sheets>
    <sheet name="2025 Total" sheetId="4" r:id="rId1"/>
    <sheet name="Part 1" sheetId="6" r:id="rId2"/>
    <sheet name="Part 2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5" i="7" l="1"/>
  <c r="J45" i="7" s="1"/>
  <c r="I45" i="7"/>
  <c r="H45" i="7"/>
  <c r="G45" i="7"/>
  <c r="F45" i="7"/>
  <c r="E45" i="7"/>
  <c r="D45" i="7"/>
  <c r="H29" i="7"/>
  <c r="F29" i="7"/>
  <c r="L24" i="7"/>
  <c r="J24" i="7"/>
  <c r="I24" i="7"/>
  <c r="H24" i="7"/>
  <c r="G24" i="7"/>
  <c r="F24" i="7"/>
  <c r="D24" i="7"/>
  <c r="L12" i="7"/>
  <c r="J12" i="7"/>
  <c r="H12" i="7"/>
  <c r="G12" i="7"/>
  <c r="F12" i="7" s="1"/>
  <c r="D12" i="7"/>
  <c r="L11" i="7"/>
  <c r="J11" i="7"/>
  <c r="H11" i="7"/>
  <c r="F11" i="7"/>
  <c r="D11" i="7"/>
  <c r="L61" i="7"/>
  <c r="K61" i="7"/>
  <c r="J61" i="7" s="1"/>
  <c r="I61" i="7"/>
  <c r="H61" i="7" s="1"/>
  <c r="G61" i="7"/>
  <c r="F61" i="7"/>
  <c r="E61" i="7"/>
  <c r="D61" i="7" s="1"/>
  <c r="L60" i="7"/>
  <c r="J60" i="7"/>
  <c r="H60" i="7"/>
  <c r="F60" i="7"/>
  <c r="D60" i="7"/>
  <c r="L58" i="7"/>
  <c r="K58" i="7"/>
  <c r="J58" i="7"/>
  <c r="H58" i="7"/>
  <c r="F58" i="7"/>
  <c r="D58" i="7"/>
  <c r="L51" i="7"/>
  <c r="K51" i="7"/>
  <c r="J51" i="7" s="1"/>
  <c r="H51" i="7"/>
  <c r="G51" i="7"/>
  <c r="F51" i="7"/>
  <c r="D51" i="7"/>
  <c r="L50" i="7"/>
  <c r="J50" i="7"/>
  <c r="H50" i="7"/>
  <c r="F50" i="7"/>
  <c r="D50" i="7"/>
  <c r="L49" i="7"/>
  <c r="J49" i="7"/>
  <c r="H49" i="7"/>
  <c r="F49" i="7"/>
  <c r="D49" i="7"/>
  <c r="L48" i="7"/>
  <c r="K48" i="7"/>
  <c r="J48" i="7"/>
  <c r="H48" i="7"/>
  <c r="G48" i="7"/>
  <c r="F48" i="7" s="1"/>
  <c r="D48" i="7"/>
  <c r="L47" i="7"/>
  <c r="J47" i="7"/>
  <c r="H47" i="7"/>
  <c r="F47" i="7"/>
  <c r="D47" i="7"/>
  <c r="D122" i="6"/>
  <c r="G122" i="6"/>
  <c r="F122" i="6" s="1"/>
  <c r="H122" i="6"/>
  <c r="J122" i="6"/>
  <c r="I44" i="7"/>
  <c r="G44" i="7"/>
  <c r="E44" i="7"/>
  <c r="L43" i="7"/>
  <c r="J43" i="7"/>
  <c r="H43" i="7"/>
  <c r="G43" i="7"/>
  <c r="F43" i="7" s="1"/>
  <c r="D43" i="7"/>
  <c r="H42" i="7"/>
  <c r="F42" i="7"/>
  <c r="L37" i="7"/>
  <c r="J37" i="7"/>
  <c r="H37" i="7"/>
  <c r="F37" i="7"/>
  <c r="D37" i="7"/>
  <c r="L36" i="7"/>
  <c r="K36" i="7"/>
  <c r="J36" i="7" s="1"/>
  <c r="I36" i="7"/>
  <c r="H36" i="7"/>
  <c r="G36" i="7"/>
  <c r="F36" i="7" s="1"/>
  <c r="E36" i="7"/>
  <c r="D36" i="7"/>
  <c r="L35" i="7"/>
  <c r="J35" i="7"/>
  <c r="I35" i="7"/>
  <c r="H35" i="7" s="1"/>
  <c r="F35" i="7"/>
  <c r="D35" i="7"/>
  <c r="L34" i="7"/>
  <c r="J34" i="7"/>
  <c r="H34" i="7"/>
  <c r="F34" i="7"/>
  <c r="D34" i="7"/>
  <c r="L33" i="7"/>
  <c r="J33" i="7"/>
  <c r="H33" i="7"/>
  <c r="F33" i="7"/>
  <c r="D33" i="7"/>
  <c r="J32" i="7"/>
  <c r="H32" i="7"/>
  <c r="F32" i="7"/>
  <c r="D32" i="7"/>
  <c r="L23" i="7"/>
  <c r="J23" i="7"/>
  <c r="H23" i="7"/>
  <c r="G23" i="7"/>
  <c r="F23" i="7"/>
  <c r="D23" i="7"/>
  <c r="L27" i="7"/>
  <c r="J27" i="7"/>
  <c r="H27" i="7"/>
  <c r="G27" i="7"/>
  <c r="F27" i="7" s="1"/>
  <c r="D27" i="7"/>
  <c r="L21" i="7"/>
  <c r="J21" i="7"/>
  <c r="H21" i="7"/>
  <c r="G21" i="7"/>
  <c r="F21" i="7"/>
  <c r="D21" i="7"/>
  <c r="L20" i="7"/>
  <c r="J20" i="7"/>
  <c r="H20" i="7"/>
  <c r="F20" i="7"/>
  <c r="D20" i="7"/>
  <c r="G7" i="7"/>
  <c r="F7" i="7" s="1"/>
  <c r="H6" i="7"/>
  <c r="F6" i="7"/>
  <c r="M64" i="7"/>
  <c r="G56" i="7"/>
  <c r="F56" i="7" s="1"/>
  <c r="L55" i="7"/>
  <c r="J55" i="7"/>
  <c r="H55" i="7"/>
  <c r="F55" i="7"/>
  <c r="D55" i="7"/>
  <c r="H53" i="7"/>
  <c r="F53" i="7"/>
  <c r="D53" i="7"/>
  <c r="L39" i="7"/>
  <c r="J39" i="7"/>
  <c r="H39" i="7"/>
  <c r="F39" i="7"/>
  <c r="D39" i="7"/>
  <c r="L18" i="7"/>
  <c r="K18" i="7"/>
  <c r="J18" i="7" s="1"/>
  <c r="H18" i="7"/>
  <c r="F18" i="7"/>
  <c r="D18" i="7"/>
  <c r="L17" i="7"/>
  <c r="J17" i="7"/>
  <c r="H17" i="7"/>
  <c r="F17" i="7"/>
  <c r="D17" i="7"/>
  <c r="J16" i="7"/>
  <c r="I16" i="7"/>
  <c r="F16" i="7"/>
  <c r="E16" i="7"/>
  <c r="J15" i="7"/>
  <c r="H15" i="7"/>
  <c r="F15" i="7"/>
  <c r="D15" i="7"/>
  <c r="H14" i="7"/>
  <c r="F14" i="7"/>
  <c r="D14" i="7"/>
  <c r="L10" i="7"/>
  <c r="J10" i="7"/>
  <c r="H10" i="7"/>
  <c r="G10" i="7"/>
  <c r="F10" i="7" s="1"/>
  <c r="D10" i="7"/>
  <c r="L9" i="7"/>
  <c r="K9" i="7"/>
  <c r="J9" i="7" s="1"/>
  <c r="H9" i="7"/>
  <c r="G9" i="7"/>
  <c r="F9" i="7" s="1"/>
  <c r="D9" i="7"/>
  <c r="M139" i="6"/>
  <c r="L137" i="6"/>
  <c r="J137" i="6"/>
  <c r="H137" i="6"/>
  <c r="G137" i="6"/>
  <c r="F137" i="6" s="1"/>
  <c r="D137" i="6"/>
  <c r="L136" i="6"/>
  <c r="J136" i="6"/>
  <c r="H136" i="6"/>
  <c r="F136" i="6"/>
  <c r="D136" i="6"/>
  <c r="L135" i="6"/>
  <c r="J135" i="6"/>
  <c r="I135" i="6"/>
  <c r="H135" i="6" s="1"/>
  <c r="G135" i="6"/>
  <c r="F135" i="6" s="1"/>
  <c r="E135" i="6"/>
  <c r="D135" i="6" s="1"/>
  <c r="L134" i="6"/>
  <c r="J134" i="6"/>
  <c r="H134" i="6"/>
  <c r="F134" i="6"/>
  <c r="D134" i="6"/>
  <c r="L132" i="6"/>
  <c r="J132" i="6"/>
  <c r="H132" i="6"/>
  <c r="G132" i="6"/>
  <c r="F132" i="6" s="1"/>
  <c r="D132" i="6"/>
  <c r="L131" i="6"/>
  <c r="K131" i="6"/>
  <c r="J131" i="6" s="1"/>
  <c r="H131" i="6"/>
  <c r="F131" i="6"/>
  <c r="D131" i="6"/>
  <c r="F130" i="6"/>
  <c r="D130" i="6"/>
  <c r="L129" i="6"/>
  <c r="J129" i="6"/>
  <c r="H129" i="6"/>
  <c r="F129" i="6"/>
  <c r="D129" i="6"/>
  <c r="F128" i="6"/>
  <c r="D128" i="6"/>
  <c r="L127" i="6"/>
  <c r="J127" i="6"/>
  <c r="H127" i="6"/>
  <c r="F127" i="6"/>
  <c r="D127" i="6"/>
  <c r="G125" i="6"/>
  <c r="F125" i="6" s="1"/>
  <c r="L124" i="6"/>
  <c r="J124" i="6"/>
  <c r="H124" i="6"/>
  <c r="F124" i="6"/>
  <c r="D124" i="6"/>
  <c r="J120" i="6"/>
  <c r="H120" i="6"/>
  <c r="F120" i="6"/>
  <c r="D120" i="6"/>
  <c r="L119" i="6"/>
  <c r="J119" i="6"/>
  <c r="H119" i="6"/>
  <c r="F119" i="6"/>
  <c r="D119" i="6"/>
  <c r="L118" i="6"/>
  <c r="J118" i="6"/>
  <c r="H118" i="6"/>
  <c r="G118" i="6"/>
  <c r="F118" i="6" s="1"/>
  <c r="D118" i="6"/>
  <c r="L117" i="6"/>
  <c r="K117" i="6"/>
  <c r="J117" i="6" s="1"/>
  <c r="H117" i="6"/>
  <c r="F117" i="6"/>
  <c r="D117" i="6"/>
  <c r="L116" i="6"/>
  <c r="J116" i="6"/>
  <c r="H116" i="6"/>
  <c r="F116" i="6"/>
  <c r="D116" i="6"/>
  <c r="L115" i="6"/>
  <c r="J115" i="6"/>
  <c r="H115" i="6"/>
  <c r="F115" i="6"/>
  <c r="D115" i="6"/>
  <c r="L114" i="6"/>
  <c r="K114" i="6"/>
  <c r="J114" i="6" s="1"/>
  <c r="I114" i="6"/>
  <c r="H114" i="6" s="1"/>
  <c r="G114" i="6"/>
  <c r="F114" i="6" s="1"/>
  <c r="E114" i="6"/>
  <c r="D114" i="6" s="1"/>
  <c r="H111" i="6"/>
  <c r="F111" i="6"/>
  <c r="H110" i="6"/>
  <c r="G110" i="6"/>
  <c r="F110" i="6" s="1"/>
  <c r="L109" i="6"/>
  <c r="J109" i="6"/>
  <c r="H109" i="6"/>
  <c r="G109" i="6"/>
  <c r="F109" i="6" s="1"/>
  <c r="D109" i="6"/>
  <c r="L108" i="6"/>
  <c r="J108" i="6"/>
  <c r="H108" i="6"/>
  <c r="F108" i="6"/>
  <c r="D108" i="6"/>
  <c r="L107" i="6"/>
  <c r="J107" i="6"/>
  <c r="I107" i="6"/>
  <c r="H107" i="6" s="1"/>
  <c r="F107" i="6"/>
  <c r="D107" i="6"/>
  <c r="L106" i="6"/>
  <c r="J106" i="6"/>
  <c r="H106" i="6"/>
  <c r="G106" i="6"/>
  <c r="F106" i="6" s="1"/>
  <c r="E106" i="6"/>
  <c r="D106" i="6" s="1"/>
  <c r="L104" i="6"/>
  <c r="J104" i="6"/>
  <c r="H104" i="6"/>
  <c r="F104" i="6"/>
  <c r="D104" i="6"/>
  <c r="L103" i="6"/>
  <c r="J103" i="6"/>
  <c r="H103" i="6"/>
  <c r="F103" i="6"/>
  <c r="D103" i="6"/>
  <c r="L102" i="6"/>
  <c r="J102" i="6"/>
  <c r="H102" i="6"/>
  <c r="F102" i="6"/>
  <c r="D102" i="6"/>
  <c r="L101" i="6"/>
  <c r="J101" i="6"/>
  <c r="I101" i="6"/>
  <c r="H101" i="6" s="1"/>
  <c r="G101" i="6"/>
  <c r="F101" i="6" s="1"/>
  <c r="D101" i="6"/>
  <c r="L100" i="6"/>
  <c r="J100" i="6"/>
  <c r="H100" i="6"/>
  <c r="F100" i="6"/>
  <c r="D100" i="6"/>
  <c r="H98" i="6"/>
  <c r="F98" i="6"/>
  <c r="L97" i="6"/>
  <c r="J97" i="6"/>
  <c r="H97" i="6"/>
  <c r="F97" i="6"/>
  <c r="D97" i="6"/>
  <c r="L96" i="6"/>
  <c r="J96" i="6"/>
  <c r="H96" i="6"/>
  <c r="F96" i="6"/>
  <c r="D96" i="6"/>
  <c r="L95" i="6"/>
  <c r="J95" i="6"/>
  <c r="H95" i="6"/>
  <c r="G95" i="6"/>
  <c r="F95" i="6" s="1"/>
  <c r="D95" i="6"/>
  <c r="L94" i="6"/>
  <c r="J94" i="6"/>
  <c r="H94" i="6"/>
  <c r="F94" i="6"/>
  <c r="D94" i="6"/>
  <c r="L93" i="6"/>
  <c r="K93" i="6"/>
  <c r="J93" i="6" s="1"/>
  <c r="H93" i="6"/>
  <c r="F93" i="6"/>
  <c r="D93" i="6"/>
  <c r="H92" i="6"/>
  <c r="F92" i="6"/>
  <c r="H91" i="6"/>
  <c r="F91" i="6"/>
  <c r="L89" i="6"/>
  <c r="J89" i="6"/>
  <c r="H89" i="6"/>
  <c r="F89" i="6"/>
  <c r="D89" i="6"/>
  <c r="L88" i="6"/>
  <c r="J88" i="6"/>
  <c r="H88" i="6"/>
  <c r="F88" i="6"/>
  <c r="D88" i="6"/>
  <c r="L87" i="6"/>
  <c r="J87" i="6"/>
  <c r="H87" i="6"/>
  <c r="F87" i="6"/>
  <c r="D87" i="6"/>
  <c r="L86" i="6"/>
  <c r="J86" i="6"/>
  <c r="H86" i="6"/>
  <c r="G86" i="6"/>
  <c r="F86" i="6" s="1"/>
  <c r="D86" i="6"/>
  <c r="L85" i="6"/>
  <c r="J85" i="6"/>
  <c r="H85" i="6"/>
  <c r="F85" i="6"/>
  <c r="D85" i="6"/>
  <c r="L84" i="6"/>
  <c r="J84" i="6"/>
  <c r="H84" i="6"/>
  <c r="G84" i="6"/>
  <c r="F84" i="6" s="1"/>
  <c r="E84" i="6"/>
  <c r="D84" i="6" s="1"/>
  <c r="L82" i="6"/>
  <c r="J82" i="6"/>
  <c r="H82" i="6"/>
  <c r="G82" i="6"/>
  <c r="F82" i="6" s="1"/>
  <c r="D82" i="6"/>
  <c r="L81" i="6"/>
  <c r="J81" i="6"/>
  <c r="I81" i="6"/>
  <c r="H81" i="6" s="1"/>
  <c r="G81" i="6"/>
  <c r="F81" i="6" s="1"/>
  <c r="D81" i="6"/>
  <c r="L79" i="6"/>
  <c r="J79" i="6"/>
  <c r="H79" i="6"/>
  <c r="F79" i="6"/>
  <c r="D79" i="6"/>
  <c r="J78" i="6"/>
  <c r="H78" i="6"/>
  <c r="F78" i="6"/>
  <c r="D78" i="6"/>
  <c r="L77" i="6"/>
  <c r="J77" i="6"/>
  <c r="H77" i="6"/>
  <c r="G77" i="6"/>
  <c r="F77" i="6" s="1"/>
  <c r="D77" i="6"/>
  <c r="L76" i="6"/>
  <c r="J76" i="6"/>
  <c r="H76" i="6"/>
  <c r="F76" i="6"/>
  <c r="D76" i="6"/>
  <c r="L75" i="6"/>
  <c r="J75" i="6"/>
  <c r="H75" i="6"/>
  <c r="F75" i="6"/>
  <c r="D75" i="6"/>
  <c r="L74" i="6"/>
  <c r="J74" i="6"/>
  <c r="H74" i="6"/>
  <c r="F74" i="6"/>
  <c r="D74" i="6"/>
  <c r="L73" i="6"/>
  <c r="K73" i="6"/>
  <c r="J73" i="6" s="1"/>
  <c r="H73" i="6"/>
  <c r="F73" i="6"/>
  <c r="D73" i="6"/>
  <c r="J72" i="6"/>
  <c r="I72" i="6"/>
  <c r="H72" i="6" s="1"/>
  <c r="G72" i="6"/>
  <c r="F72" i="6" s="1"/>
  <c r="D72" i="6"/>
  <c r="L71" i="6"/>
  <c r="K71" i="6"/>
  <c r="J71" i="6" s="1"/>
  <c r="H71" i="6"/>
  <c r="G71" i="6"/>
  <c r="F71" i="6" s="1"/>
  <c r="D71" i="6"/>
  <c r="L69" i="6"/>
  <c r="J69" i="6"/>
  <c r="H69" i="6"/>
  <c r="F69" i="6"/>
  <c r="D69" i="6"/>
  <c r="J68" i="6"/>
  <c r="I68" i="6"/>
  <c r="H68" i="6" s="1"/>
  <c r="G68" i="6"/>
  <c r="F68" i="6" s="1"/>
  <c r="D68" i="6"/>
  <c r="L67" i="6"/>
  <c r="J67" i="6"/>
  <c r="H67" i="6"/>
  <c r="F67" i="6"/>
  <c r="D67" i="6"/>
  <c r="L66" i="6"/>
  <c r="K66" i="6"/>
  <c r="J66" i="6" s="1"/>
  <c r="H66" i="6"/>
  <c r="F66" i="6"/>
  <c r="D66" i="6"/>
  <c r="L65" i="6"/>
  <c r="J65" i="6"/>
  <c r="H65" i="6"/>
  <c r="F65" i="6"/>
  <c r="E65" i="6"/>
  <c r="D65" i="6" s="1"/>
  <c r="L64" i="6"/>
  <c r="K64" i="6"/>
  <c r="J64" i="6" s="1"/>
  <c r="H64" i="6"/>
  <c r="G64" i="6"/>
  <c r="F64" i="6" s="1"/>
  <c r="D64" i="6"/>
  <c r="L63" i="6"/>
  <c r="K63" i="6"/>
  <c r="J63" i="6" s="1"/>
  <c r="H63" i="6"/>
  <c r="G63" i="6"/>
  <c r="F63" i="6" s="1"/>
  <c r="D63" i="6"/>
  <c r="L62" i="6"/>
  <c r="K62" i="6"/>
  <c r="J62" i="6" s="1"/>
  <c r="H62" i="6"/>
  <c r="F62" i="6"/>
  <c r="D62" i="6"/>
  <c r="L61" i="6"/>
  <c r="J61" i="6"/>
  <c r="H61" i="6"/>
  <c r="G61" i="6"/>
  <c r="F61" i="6" s="1"/>
  <c r="D61" i="6"/>
  <c r="L60" i="6"/>
  <c r="J60" i="6"/>
  <c r="H60" i="6"/>
  <c r="G60" i="6"/>
  <c r="F60" i="6" s="1"/>
  <c r="D60" i="6"/>
  <c r="G59" i="6"/>
  <c r="F59" i="6" s="1"/>
  <c r="G58" i="6"/>
  <c r="F58" i="6" s="1"/>
  <c r="L57" i="6"/>
  <c r="J57" i="6"/>
  <c r="H57" i="6"/>
  <c r="F57" i="6"/>
  <c r="D57" i="6"/>
  <c r="L56" i="6"/>
  <c r="J56" i="6"/>
  <c r="H56" i="6"/>
  <c r="F56" i="6"/>
  <c r="D56" i="6"/>
  <c r="L55" i="6"/>
  <c r="J55" i="6"/>
  <c r="H55" i="6"/>
  <c r="G55" i="6"/>
  <c r="F55" i="6" s="1"/>
  <c r="D55" i="6"/>
  <c r="L54" i="6"/>
  <c r="J54" i="6"/>
  <c r="H54" i="6"/>
  <c r="G54" i="6"/>
  <c r="F54" i="6" s="1"/>
  <c r="E54" i="6"/>
  <c r="D54" i="6" s="1"/>
  <c r="L53" i="6"/>
  <c r="J53" i="6"/>
  <c r="H53" i="6"/>
  <c r="F53" i="6"/>
  <c r="D53" i="6"/>
  <c r="L52" i="6"/>
  <c r="J52" i="6"/>
  <c r="H52" i="6"/>
  <c r="F52" i="6"/>
  <c r="D52" i="6"/>
  <c r="L51" i="6"/>
  <c r="J51" i="6"/>
  <c r="H51" i="6"/>
  <c r="F51" i="6"/>
  <c r="D51" i="6"/>
  <c r="L50" i="6"/>
  <c r="J50" i="6"/>
  <c r="H50" i="6"/>
  <c r="F50" i="6"/>
  <c r="D50" i="6"/>
  <c r="L49" i="6"/>
  <c r="K49" i="6"/>
  <c r="J49" i="6" s="1"/>
  <c r="H49" i="6"/>
  <c r="F49" i="6"/>
  <c r="D49" i="6"/>
  <c r="H48" i="6"/>
  <c r="F48" i="6"/>
  <c r="D48" i="6"/>
  <c r="H47" i="6"/>
  <c r="F47" i="6"/>
  <c r="K46" i="6"/>
  <c r="J46" i="6" s="1"/>
  <c r="I46" i="6"/>
  <c r="H46" i="6" s="1"/>
  <c r="G46" i="6"/>
  <c r="F46" i="6" s="1"/>
  <c r="D46" i="6"/>
  <c r="L45" i="6"/>
  <c r="J45" i="6"/>
  <c r="H45" i="6"/>
  <c r="F45" i="6"/>
  <c r="D45" i="6"/>
  <c r="L43" i="6"/>
  <c r="J43" i="6"/>
  <c r="I43" i="6"/>
  <c r="H43" i="6" s="1"/>
  <c r="G43" i="6"/>
  <c r="F43" i="6" s="1"/>
  <c r="E43" i="6"/>
  <c r="D43" i="6" s="1"/>
  <c r="L42" i="6"/>
  <c r="J42" i="6"/>
  <c r="H42" i="6"/>
  <c r="F42" i="6"/>
  <c r="D42" i="6"/>
  <c r="L41" i="6"/>
  <c r="J41" i="6"/>
  <c r="I41" i="6"/>
  <c r="H41" i="6" s="1"/>
  <c r="G41" i="6"/>
  <c r="F41" i="6" s="1"/>
  <c r="E41" i="6"/>
  <c r="D41" i="6" s="1"/>
  <c r="L40" i="6"/>
  <c r="J40" i="6"/>
  <c r="H40" i="6"/>
  <c r="F40" i="6"/>
  <c r="D40" i="6"/>
  <c r="L38" i="6"/>
  <c r="J38" i="6"/>
  <c r="H38" i="6"/>
  <c r="F38" i="6"/>
  <c r="D38" i="6"/>
  <c r="L37" i="6"/>
  <c r="J37" i="6"/>
  <c r="H37" i="6"/>
  <c r="F37" i="6"/>
  <c r="D37" i="6"/>
  <c r="L35" i="6"/>
  <c r="J35" i="6"/>
  <c r="H35" i="6"/>
  <c r="F35" i="6"/>
  <c r="D35" i="6"/>
  <c r="L34" i="6"/>
  <c r="J34" i="6"/>
  <c r="H34" i="6"/>
  <c r="F34" i="6"/>
  <c r="D34" i="6"/>
  <c r="J33" i="6"/>
  <c r="H33" i="6"/>
  <c r="F33" i="6"/>
  <c r="D33" i="6"/>
  <c r="J32" i="6"/>
  <c r="H32" i="6"/>
  <c r="F32" i="6"/>
  <c r="D32" i="6"/>
  <c r="L31" i="6"/>
  <c r="J31" i="6"/>
  <c r="H31" i="6"/>
  <c r="F31" i="6"/>
  <c r="L30" i="6"/>
  <c r="J30" i="6"/>
  <c r="H30" i="6"/>
  <c r="F30" i="6"/>
  <c r="D30" i="6"/>
  <c r="H29" i="6"/>
  <c r="F29" i="6"/>
  <c r="D29" i="6"/>
  <c r="L28" i="6"/>
  <c r="J28" i="6"/>
  <c r="I28" i="6"/>
  <c r="H28" i="6" s="1"/>
  <c r="G28" i="6"/>
  <c r="F28" i="6" s="1"/>
  <c r="E28" i="6"/>
  <c r="D28" i="6" s="1"/>
  <c r="H27" i="6"/>
  <c r="F27" i="6"/>
  <c r="L26" i="6"/>
  <c r="J26" i="6"/>
  <c r="I26" i="6"/>
  <c r="H26" i="6" s="1"/>
  <c r="G26" i="6"/>
  <c r="F26" i="6" s="1"/>
  <c r="E26" i="6"/>
  <c r="D26" i="6" s="1"/>
  <c r="G24" i="6"/>
  <c r="F24" i="6" s="1"/>
  <c r="L23" i="6"/>
  <c r="J23" i="6"/>
  <c r="H23" i="6"/>
  <c r="F23" i="6"/>
  <c r="D23" i="6"/>
  <c r="L22" i="6"/>
  <c r="J22" i="6"/>
  <c r="H22" i="6"/>
  <c r="F22" i="6"/>
  <c r="D22" i="6"/>
  <c r="L21" i="6"/>
  <c r="J21" i="6"/>
  <c r="H21" i="6"/>
  <c r="F21" i="6"/>
  <c r="D21" i="6"/>
  <c r="G19" i="6"/>
  <c r="F19" i="6" s="1"/>
  <c r="L18" i="6"/>
  <c r="J18" i="6"/>
  <c r="H18" i="6"/>
  <c r="F18" i="6"/>
  <c r="D18" i="6"/>
  <c r="L17" i="6"/>
  <c r="K17" i="6"/>
  <c r="J17" i="6" s="1"/>
  <c r="H17" i="6"/>
  <c r="G17" i="6"/>
  <c r="F17" i="6" s="1"/>
  <c r="E17" i="6"/>
  <c r="D17" i="6" s="1"/>
  <c r="F16" i="6"/>
  <c r="D16" i="6"/>
  <c r="L15" i="6"/>
  <c r="K15" i="6"/>
  <c r="J15" i="6" s="1"/>
  <c r="I15" i="6"/>
  <c r="H15" i="6" s="1"/>
  <c r="G15" i="6"/>
  <c r="F15" i="6" s="1"/>
  <c r="D15" i="6"/>
  <c r="L14" i="6"/>
  <c r="J14" i="6"/>
  <c r="H14" i="6"/>
  <c r="F14" i="6"/>
  <c r="D14" i="6"/>
  <c r="L13" i="6"/>
  <c r="J13" i="6"/>
  <c r="H13" i="6"/>
  <c r="F13" i="6"/>
  <c r="D13" i="6"/>
  <c r="L12" i="6"/>
  <c r="J12" i="6"/>
  <c r="H12" i="6"/>
  <c r="F12" i="6"/>
  <c r="D12" i="6"/>
  <c r="L11" i="6"/>
  <c r="J11" i="6"/>
  <c r="H11" i="6"/>
  <c r="G11" i="6"/>
  <c r="F11" i="6" s="1"/>
  <c r="D11" i="6"/>
  <c r="L10" i="6"/>
  <c r="J10" i="6"/>
  <c r="H10" i="6"/>
  <c r="F10" i="6"/>
  <c r="D10" i="6"/>
  <c r="L9" i="6"/>
  <c r="J9" i="6"/>
  <c r="H9" i="6"/>
  <c r="G9" i="6"/>
  <c r="F9" i="6" s="1"/>
  <c r="L8" i="6"/>
  <c r="J8" i="6"/>
  <c r="H8" i="6"/>
  <c r="F8" i="6"/>
  <c r="D8" i="6"/>
  <c r="E7" i="6"/>
  <c r="K7" i="6" s="1"/>
  <c r="L6" i="6"/>
  <c r="K6" i="6"/>
  <c r="H6" i="6"/>
  <c r="I6" i="6" s="1"/>
  <c r="F6" i="6"/>
  <c r="G6" i="6" s="1"/>
  <c r="D6" i="6"/>
  <c r="L168" i="4"/>
  <c r="J168" i="4"/>
  <c r="H168" i="4"/>
  <c r="G168" i="4"/>
  <c r="F168" i="4" s="1"/>
  <c r="D168" i="4"/>
  <c r="L167" i="4"/>
  <c r="K167" i="4"/>
  <c r="J167" i="4" s="1"/>
  <c r="H167" i="4"/>
  <c r="F167" i="4"/>
  <c r="D167" i="4"/>
  <c r="F166" i="4"/>
  <c r="D166" i="4"/>
  <c r="I173" i="4"/>
  <c r="G173" i="4"/>
  <c r="H138" i="4"/>
  <c r="H139" i="4"/>
  <c r="H140" i="4"/>
  <c r="F139" i="4"/>
  <c r="F140" i="4"/>
  <c r="G138" i="4"/>
  <c r="F138" i="4" s="1"/>
  <c r="D7" i="6" l="1"/>
  <c r="D139" i="6" s="1"/>
  <c r="F28" i="7"/>
  <c r="F64" i="7" s="1"/>
  <c r="K64" i="7"/>
  <c r="L64" i="7"/>
  <c r="G139" i="6"/>
  <c r="I139" i="6"/>
  <c r="L139" i="6"/>
  <c r="D64" i="7"/>
  <c r="J64" i="7"/>
  <c r="H64" i="7"/>
  <c r="E64" i="7"/>
  <c r="G64" i="7"/>
  <c r="I64" i="7"/>
  <c r="K139" i="6"/>
  <c r="H7" i="6"/>
  <c r="H139" i="6" s="1"/>
  <c r="J7" i="6"/>
  <c r="J139" i="6" s="1"/>
  <c r="F7" i="6"/>
  <c r="F139" i="6" s="1"/>
  <c r="E6" i="6"/>
  <c r="E139" i="6" s="1"/>
  <c r="L137" i="4"/>
  <c r="J137" i="4"/>
  <c r="H137" i="4"/>
  <c r="G137" i="4"/>
  <c r="F137" i="4" s="1"/>
  <c r="D137" i="4"/>
  <c r="L145" i="4"/>
  <c r="K145" i="4"/>
  <c r="J145" i="4" s="1"/>
  <c r="H145" i="4"/>
  <c r="G145" i="4"/>
  <c r="F145" i="4" s="1"/>
  <c r="D145" i="4"/>
  <c r="G160" i="4"/>
  <c r="F160" i="4" s="1"/>
  <c r="F122" i="4"/>
  <c r="H122" i="4"/>
  <c r="F101" i="4"/>
  <c r="H101" i="4"/>
  <c r="I98" i="4"/>
  <c r="G98" i="4"/>
  <c r="F97" i="4"/>
  <c r="I88" i="4"/>
  <c r="G88" i="4"/>
  <c r="G67" i="4"/>
  <c r="I85" i="4"/>
  <c r="G85" i="4"/>
  <c r="G69" i="4"/>
  <c r="G73" i="4"/>
  <c r="F73" i="4" s="1"/>
  <c r="G72" i="4"/>
  <c r="F72" i="4" s="1"/>
  <c r="F40" i="4"/>
  <c r="J40" i="4"/>
  <c r="F34" i="4"/>
  <c r="H34" i="4"/>
  <c r="G21" i="4"/>
  <c r="F21" i="4" s="1"/>
  <c r="G11" i="4"/>
  <c r="F11" i="4" s="1"/>
  <c r="G30" i="4"/>
  <c r="F30" i="4" s="1"/>
  <c r="H10" i="4"/>
  <c r="F10" i="4"/>
  <c r="K134" i="4" l="1"/>
  <c r="I134" i="4"/>
  <c r="G134" i="4"/>
  <c r="M178" i="4"/>
  <c r="F60" i="4"/>
  <c r="H60" i="4"/>
  <c r="L114" i="4"/>
  <c r="J114" i="4"/>
  <c r="I114" i="4"/>
  <c r="H114" i="4" s="1"/>
  <c r="F114" i="4"/>
  <c r="D114" i="4"/>
  <c r="K113" i="4"/>
  <c r="L129" i="4"/>
  <c r="J129" i="4"/>
  <c r="H129" i="4"/>
  <c r="F129" i="4"/>
  <c r="D129" i="4"/>
  <c r="L89" i="4"/>
  <c r="K89" i="4"/>
  <c r="J89" i="4" s="1"/>
  <c r="H89" i="4"/>
  <c r="F89" i="4"/>
  <c r="J154" i="4"/>
  <c r="H154" i="4"/>
  <c r="F154" i="4"/>
  <c r="D154" i="4"/>
  <c r="L39" i="4"/>
  <c r="J39" i="4"/>
  <c r="H39" i="4"/>
  <c r="F39" i="4"/>
  <c r="H112" i="4"/>
  <c r="F112" i="4"/>
  <c r="H111" i="4"/>
  <c r="F111" i="4"/>
  <c r="L70" i="4"/>
  <c r="J70" i="4"/>
  <c r="H70" i="4"/>
  <c r="F70" i="4"/>
  <c r="D70" i="4"/>
  <c r="F163" i="4"/>
  <c r="K78" i="4"/>
  <c r="G100" i="4"/>
  <c r="K87" i="4"/>
  <c r="G87" i="4"/>
  <c r="G117" i="4"/>
  <c r="K59" i="4"/>
  <c r="I59" i="4"/>
  <c r="G59" i="4"/>
  <c r="J116" i="4"/>
  <c r="G53" i="4"/>
  <c r="K19" i="4"/>
  <c r="K49" i="4"/>
  <c r="K149" i="4" l="1"/>
  <c r="I36" i="4"/>
  <c r="G24" i="4"/>
  <c r="D16" i="4" l="1"/>
  <c r="J83" i="4"/>
  <c r="I83" i="4"/>
  <c r="H83" i="4" s="1"/>
  <c r="G83" i="4"/>
  <c r="F83" i="4" s="1"/>
  <c r="D83" i="4"/>
  <c r="E7" i="4" l="1"/>
  <c r="D7" i="4" s="1"/>
  <c r="K7" i="4" l="1"/>
  <c r="H7" i="4" l="1"/>
  <c r="F7" i="4"/>
  <c r="J7" i="4"/>
  <c r="F6" i="4" l="1"/>
  <c r="G29" i="4" l="1"/>
  <c r="G157" i="4"/>
  <c r="G99" i="4"/>
  <c r="G74" i="4"/>
  <c r="D163" i="4"/>
  <c r="K77" i="4"/>
  <c r="I77" i="4"/>
  <c r="G77" i="4"/>
  <c r="E77" i="4"/>
  <c r="E80" i="4"/>
  <c r="L79" i="4"/>
  <c r="K79" i="4"/>
  <c r="J79" i="4" s="1"/>
  <c r="H79" i="4"/>
  <c r="G79" i="4"/>
  <c r="F79" i="4" s="1"/>
  <c r="D79" i="4"/>
  <c r="L78" i="4"/>
  <c r="J78" i="4"/>
  <c r="H78" i="4"/>
  <c r="G78" i="4"/>
  <c r="F78" i="4" s="1"/>
  <c r="D78" i="4"/>
  <c r="L62" i="4"/>
  <c r="K62" i="4"/>
  <c r="J62" i="4" s="1"/>
  <c r="H62" i="4"/>
  <c r="F62" i="4"/>
  <c r="D62" i="4"/>
  <c r="G103" i="4" l="1"/>
  <c r="F103" i="4" s="1"/>
  <c r="E103" i="4"/>
  <c r="D103" i="4" s="1"/>
  <c r="J110" i="4"/>
  <c r="H110" i="4"/>
  <c r="F110" i="4"/>
  <c r="F113" i="4"/>
  <c r="D110" i="4"/>
  <c r="H156" i="4"/>
  <c r="F156" i="4"/>
  <c r="D156" i="4"/>
  <c r="J94" i="4"/>
  <c r="H94" i="4"/>
  <c r="F94" i="4"/>
  <c r="D94" i="4"/>
  <c r="D89" i="4"/>
  <c r="H61" i="4"/>
  <c r="F61" i="4"/>
  <c r="D61" i="4"/>
  <c r="J88" i="4"/>
  <c r="H88" i="4"/>
  <c r="F88" i="4"/>
  <c r="D88" i="4"/>
  <c r="J59" i="4"/>
  <c r="H59" i="4"/>
  <c r="F59" i="4"/>
  <c r="D59" i="4"/>
  <c r="F18" i="4"/>
  <c r="D18" i="4"/>
  <c r="D8" i="4"/>
  <c r="L98" i="4"/>
  <c r="J98" i="4"/>
  <c r="H98" i="4"/>
  <c r="F98" i="4"/>
  <c r="D98" i="4"/>
  <c r="L100" i="4"/>
  <c r="J100" i="4"/>
  <c r="H100" i="4"/>
  <c r="F100" i="4"/>
  <c r="D100" i="4"/>
  <c r="L99" i="4"/>
  <c r="J99" i="4"/>
  <c r="H99" i="4"/>
  <c r="F99" i="4"/>
  <c r="D99" i="4"/>
  <c r="L95" i="4"/>
  <c r="J95" i="4"/>
  <c r="H95" i="4"/>
  <c r="F95" i="4"/>
  <c r="D95" i="4"/>
  <c r="L87" i="4"/>
  <c r="J87" i="4"/>
  <c r="H87" i="4"/>
  <c r="F87" i="4"/>
  <c r="D87" i="4"/>
  <c r="L91" i="4"/>
  <c r="J91" i="4"/>
  <c r="H91" i="4"/>
  <c r="F91" i="4"/>
  <c r="D91" i="4"/>
  <c r="L92" i="4"/>
  <c r="J92" i="4"/>
  <c r="H92" i="4"/>
  <c r="F92" i="4"/>
  <c r="D92" i="4"/>
  <c r="D157" i="4"/>
  <c r="F157" i="4"/>
  <c r="H157" i="4"/>
  <c r="J157" i="4"/>
  <c r="L125" i="4"/>
  <c r="J125" i="4"/>
  <c r="I125" i="4"/>
  <c r="H125" i="4" s="1"/>
  <c r="G125" i="4"/>
  <c r="F125" i="4" s="1"/>
  <c r="D125" i="4"/>
  <c r="L126" i="4"/>
  <c r="J126" i="4"/>
  <c r="H126" i="4"/>
  <c r="F126" i="4"/>
  <c r="D126" i="4"/>
  <c r="L128" i="4"/>
  <c r="J128" i="4"/>
  <c r="H128" i="4"/>
  <c r="F128" i="4"/>
  <c r="D128" i="4"/>
  <c r="L127" i="4"/>
  <c r="J127" i="4"/>
  <c r="H127" i="4"/>
  <c r="F127" i="4"/>
  <c r="D127" i="4"/>
  <c r="L124" i="4"/>
  <c r="J124" i="4"/>
  <c r="H124" i="4"/>
  <c r="F124" i="4"/>
  <c r="D124" i="4"/>
  <c r="L159" i="4"/>
  <c r="J159" i="4"/>
  <c r="H159" i="4"/>
  <c r="F159" i="4"/>
  <c r="D159" i="4"/>
  <c r="L104" i="4"/>
  <c r="J104" i="4"/>
  <c r="H104" i="4"/>
  <c r="F104" i="4"/>
  <c r="D104" i="4"/>
  <c r="L103" i="4"/>
  <c r="J103" i="4"/>
  <c r="H103" i="4"/>
  <c r="L105" i="4"/>
  <c r="J105" i="4"/>
  <c r="H105" i="4"/>
  <c r="G105" i="4"/>
  <c r="F105" i="4" s="1"/>
  <c r="D105" i="4"/>
  <c r="L108" i="4"/>
  <c r="J108" i="4"/>
  <c r="H108" i="4"/>
  <c r="F108" i="4"/>
  <c r="D108" i="4"/>
  <c r="L107" i="4"/>
  <c r="J107" i="4"/>
  <c r="H107" i="4"/>
  <c r="F107" i="4"/>
  <c r="D107" i="4"/>
  <c r="L93" i="4"/>
  <c r="J93" i="4"/>
  <c r="H93" i="4"/>
  <c r="G93" i="4"/>
  <c r="F93" i="4" s="1"/>
  <c r="D93" i="4"/>
  <c r="L106" i="4"/>
  <c r="J106" i="4"/>
  <c r="H106" i="4"/>
  <c r="F106" i="4"/>
  <c r="D106" i="4"/>
  <c r="L90" i="4"/>
  <c r="J90" i="4"/>
  <c r="H90" i="4"/>
  <c r="F90" i="4"/>
  <c r="D90" i="4"/>
  <c r="L23" i="4"/>
  <c r="J23" i="4"/>
  <c r="H23" i="4"/>
  <c r="F23" i="4"/>
  <c r="D23" i="4"/>
  <c r="L28" i="4"/>
  <c r="J28" i="4"/>
  <c r="H28" i="4"/>
  <c r="F28" i="4"/>
  <c r="D28" i="4"/>
  <c r="L29" i="4"/>
  <c r="J29" i="4"/>
  <c r="H29" i="4"/>
  <c r="F29" i="4"/>
  <c r="D29" i="4"/>
  <c r="L25" i="4"/>
  <c r="J25" i="4"/>
  <c r="H25" i="4"/>
  <c r="G25" i="4"/>
  <c r="F25" i="4" s="1"/>
  <c r="D25" i="4"/>
  <c r="L27" i="4"/>
  <c r="J27" i="4"/>
  <c r="H27" i="4"/>
  <c r="F27" i="4"/>
  <c r="D27" i="4"/>
  <c r="L26" i="4"/>
  <c r="J26" i="4"/>
  <c r="H26" i="4"/>
  <c r="F26" i="4"/>
  <c r="D26" i="4"/>
  <c r="L24" i="4"/>
  <c r="K24" i="4"/>
  <c r="J24" i="4" s="1"/>
  <c r="H24" i="4"/>
  <c r="F24" i="4"/>
  <c r="D24" i="4"/>
  <c r="L56" i="4"/>
  <c r="J56" i="4"/>
  <c r="I56" i="4"/>
  <c r="H56" i="4" s="1"/>
  <c r="G56" i="4"/>
  <c r="F56" i="4" s="1"/>
  <c r="E56" i="4"/>
  <c r="D56" i="4" s="1"/>
  <c r="L55" i="4"/>
  <c r="J55" i="4"/>
  <c r="H55" i="4"/>
  <c r="F55" i="4"/>
  <c r="D55" i="4"/>
  <c r="L54" i="4"/>
  <c r="J54" i="4"/>
  <c r="I54" i="4"/>
  <c r="H54" i="4" s="1"/>
  <c r="G54" i="4"/>
  <c r="F54" i="4" s="1"/>
  <c r="E54" i="4"/>
  <c r="D54" i="4" s="1"/>
  <c r="L53" i="4"/>
  <c r="J53" i="4"/>
  <c r="H53" i="4"/>
  <c r="F53" i="4"/>
  <c r="D53" i="4"/>
  <c r="L51" i="4"/>
  <c r="J51" i="4"/>
  <c r="H51" i="4"/>
  <c r="F51" i="4"/>
  <c r="D51" i="4"/>
  <c r="L52" i="4"/>
  <c r="J52" i="4"/>
  <c r="H52" i="4"/>
  <c r="F52" i="4"/>
  <c r="D52" i="4"/>
  <c r="L119" i="4"/>
  <c r="J119" i="4"/>
  <c r="H119" i="4"/>
  <c r="F119" i="4"/>
  <c r="D119" i="4"/>
  <c r="L121" i="4"/>
  <c r="J121" i="4"/>
  <c r="H121" i="4"/>
  <c r="F121" i="4"/>
  <c r="D121" i="4"/>
  <c r="L131" i="4"/>
  <c r="J131" i="4"/>
  <c r="H131" i="4"/>
  <c r="G131" i="4"/>
  <c r="F131" i="4" s="1"/>
  <c r="E131" i="4"/>
  <c r="D131" i="4" s="1"/>
  <c r="J134" i="4"/>
  <c r="H134" i="4"/>
  <c r="F134" i="4"/>
  <c r="E134" i="4"/>
  <c r="D134" i="4" s="1"/>
  <c r="I133" i="4"/>
  <c r="G133" i="4"/>
  <c r="E133" i="4"/>
  <c r="L136" i="4"/>
  <c r="J136" i="4"/>
  <c r="H136" i="4"/>
  <c r="G136" i="4"/>
  <c r="F136" i="4" s="1"/>
  <c r="D136" i="4"/>
  <c r="L135" i="4"/>
  <c r="J135" i="4"/>
  <c r="H135" i="4"/>
  <c r="F135" i="4"/>
  <c r="D135" i="4"/>
  <c r="L132" i="4"/>
  <c r="J132" i="4"/>
  <c r="I132" i="4"/>
  <c r="H132" i="4" s="1"/>
  <c r="F132" i="4"/>
  <c r="D132" i="4"/>
  <c r="L176" i="4"/>
  <c r="J176" i="4"/>
  <c r="H176" i="4"/>
  <c r="G176" i="4"/>
  <c r="F176" i="4" s="1"/>
  <c r="D176" i="4"/>
  <c r="L174" i="4"/>
  <c r="J174" i="4"/>
  <c r="H174" i="4"/>
  <c r="F174" i="4"/>
  <c r="D174" i="4"/>
  <c r="L171" i="4"/>
  <c r="K171" i="4"/>
  <c r="J171" i="4" s="1"/>
  <c r="I171" i="4"/>
  <c r="H171" i="4" s="1"/>
  <c r="G171" i="4"/>
  <c r="F171" i="4" s="1"/>
  <c r="E171" i="4"/>
  <c r="D171" i="4" s="1"/>
  <c r="L170" i="4"/>
  <c r="J170" i="4"/>
  <c r="H170" i="4"/>
  <c r="F170" i="4"/>
  <c r="D170" i="4"/>
  <c r="L172" i="4"/>
  <c r="J172" i="4"/>
  <c r="H172" i="4"/>
  <c r="F172" i="4"/>
  <c r="D172" i="4"/>
  <c r="L173" i="4"/>
  <c r="J173" i="4"/>
  <c r="H173" i="4"/>
  <c r="F173" i="4"/>
  <c r="E173" i="4"/>
  <c r="D173" i="4" s="1"/>
  <c r="L162" i="4"/>
  <c r="J162" i="4"/>
  <c r="H162" i="4"/>
  <c r="F162" i="4"/>
  <c r="D162" i="4"/>
  <c r="L164" i="4"/>
  <c r="K164" i="4"/>
  <c r="J164" i="4" s="1"/>
  <c r="H164" i="4"/>
  <c r="F164" i="4"/>
  <c r="D164" i="4"/>
  <c r="L44" i="4"/>
  <c r="J44" i="4"/>
  <c r="H44" i="4"/>
  <c r="F44" i="4"/>
  <c r="D44" i="4"/>
  <c r="L46" i="4"/>
  <c r="J46" i="4"/>
  <c r="H46" i="4"/>
  <c r="F46" i="4"/>
  <c r="D46" i="4"/>
  <c r="L49" i="4"/>
  <c r="J49" i="4"/>
  <c r="H49" i="4"/>
  <c r="F49" i="4"/>
  <c r="D49" i="4"/>
  <c r="L48" i="4"/>
  <c r="J48" i="4"/>
  <c r="H48" i="4"/>
  <c r="F48" i="4"/>
  <c r="D48" i="4"/>
  <c r="L47" i="4"/>
  <c r="J47" i="4"/>
  <c r="H47" i="4"/>
  <c r="F47" i="4"/>
  <c r="D47" i="4"/>
  <c r="L147" i="4"/>
  <c r="J147" i="4"/>
  <c r="H147" i="4"/>
  <c r="F147" i="4"/>
  <c r="D147" i="4"/>
  <c r="L146" i="4"/>
  <c r="J146" i="4"/>
  <c r="H146" i="4"/>
  <c r="F146" i="4"/>
  <c r="D146" i="4"/>
  <c r="L149" i="4"/>
  <c r="J149" i="4"/>
  <c r="H149" i="4"/>
  <c r="F149" i="4"/>
  <c r="D149" i="4"/>
  <c r="L148" i="4"/>
  <c r="J148" i="4"/>
  <c r="H148" i="4"/>
  <c r="F148" i="4"/>
  <c r="D148" i="4"/>
  <c r="L150" i="4"/>
  <c r="J150" i="4"/>
  <c r="H150" i="4"/>
  <c r="F150" i="4"/>
  <c r="D150" i="4"/>
  <c r="L144" i="4"/>
  <c r="K144" i="4"/>
  <c r="J144" i="4" s="1"/>
  <c r="I144" i="4"/>
  <c r="G144" i="4"/>
  <c r="F144" i="4" s="1"/>
  <c r="E144" i="4"/>
  <c r="D144" i="4" s="1"/>
  <c r="L143" i="4"/>
  <c r="J143" i="4"/>
  <c r="H143" i="4"/>
  <c r="F143" i="4"/>
  <c r="D143" i="4"/>
  <c r="L151" i="4"/>
  <c r="J151" i="4"/>
  <c r="H151" i="4"/>
  <c r="G151" i="4"/>
  <c r="F151" i="4" s="1"/>
  <c r="D151" i="4"/>
  <c r="L152" i="4"/>
  <c r="K152" i="4"/>
  <c r="J152" i="4" s="1"/>
  <c r="H152" i="4"/>
  <c r="G152" i="4"/>
  <c r="F152" i="4" s="1"/>
  <c r="D152" i="4"/>
  <c r="L165" i="4"/>
  <c r="J165" i="4"/>
  <c r="H165" i="4"/>
  <c r="F165" i="4"/>
  <c r="D165" i="4"/>
  <c r="L153" i="4"/>
  <c r="J153" i="4"/>
  <c r="H153" i="4"/>
  <c r="F153" i="4"/>
  <c r="D153" i="4"/>
  <c r="L118" i="4"/>
  <c r="J118" i="4"/>
  <c r="H118" i="4"/>
  <c r="F118" i="4"/>
  <c r="D118" i="4"/>
  <c r="L120" i="4"/>
  <c r="J120" i="4"/>
  <c r="H120" i="4"/>
  <c r="F120" i="4"/>
  <c r="D120" i="4"/>
  <c r="L113" i="4"/>
  <c r="J113" i="4"/>
  <c r="H113" i="4"/>
  <c r="D113" i="4"/>
  <c r="L65" i="4"/>
  <c r="J65" i="4"/>
  <c r="H65" i="4"/>
  <c r="F65" i="4"/>
  <c r="D65" i="4"/>
  <c r="L64" i="4"/>
  <c r="J64" i="4"/>
  <c r="H64" i="4"/>
  <c r="F64" i="4"/>
  <c r="D64" i="4"/>
  <c r="L66" i="4"/>
  <c r="J66" i="4"/>
  <c r="H66" i="4"/>
  <c r="F66" i="4"/>
  <c r="D66" i="4"/>
  <c r="L69" i="4"/>
  <c r="J69" i="4"/>
  <c r="H69" i="4"/>
  <c r="F69" i="4"/>
  <c r="D69" i="4"/>
  <c r="L58" i="4"/>
  <c r="J58" i="4"/>
  <c r="H58" i="4"/>
  <c r="F58" i="4"/>
  <c r="D58" i="4"/>
  <c r="L77" i="4"/>
  <c r="J77" i="4"/>
  <c r="H77" i="4"/>
  <c r="F77" i="4"/>
  <c r="D77" i="4"/>
  <c r="L115" i="4"/>
  <c r="J115" i="4"/>
  <c r="H115" i="4"/>
  <c r="F115" i="4"/>
  <c r="D115" i="4"/>
  <c r="L117" i="4"/>
  <c r="J117" i="4"/>
  <c r="H117" i="4"/>
  <c r="F117" i="4"/>
  <c r="D117" i="4"/>
  <c r="L116" i="4"/>
  <c r="H116" i="4"/>
  <c r="F116" i="4"/>
  <c r="D116" i="4"/>
  <c r="L63" i="4"/>
  <c r="J63" i="4"/>
  <c r="H63" i="4"/>
  <c r="F63" i="4"/>
  <c r="D63" i="4"/>
  <c r="L80" i="4"/>
  <c r="J80" i="4"/>
  <c r="H80" i="4"/>
  <c r="F80" i="4"/>
  <c r="D80" i="4"/>
  <c r="L81" i="4"/>
  <c r="K81" i="4"/>
  <c r="J81" i="4" s="1"/>
  <c r="H81" i="4"/>
  <c r="F81" i="4"/>
  <c r="D81" i="4"/>
  <c r="L75" i="4"/>
  <c r="J75" i="4"/>
  <c r="H75" i="4"/>
  <c r="G75" i="4"/>
  <c r="F75" i="4" s="1"/>
  <c r="D75" i="4"/>
  <c r="L68" i="4"/>
  <c r="J68" i="4"/>
  <c r="H68" i="4"/>
  <c r="G68" i="4"/>
  <c r="F68" i="4" s="1"/>
  <c r="E68" i="4"/>
  <c r="D68" i="4" s="1"/>
  <c r="L76" i="4"/>
  <c r="K76" i="4"/>
  <c r="J76" i="4" s="1"/>
  <c r="H76" i="4"/>
  <c r="F76" i="4"/>
  <c r="D76" i="4"/>
  <c r="L17" i="4"/>
  <c r="K17" i="4"/>
  <c r="J17" i="4" s="1"/>
  <c r="I17" i="4"/>
  <c r="H17" i="4" s="1"/>
  <c r="G17" i="4"/>
  <c r="F17" i="4" s="1"/>
  <c r="D17" i="4"/>
  <c r="L67" i="4"/>
  <c r="J67" i="4"/>
  <c r="H67" i="4"/>
  <c r="F67" i="4"/>
  <c r="D67" i="4"/>
  <c r="L71" i="4"/>
  <c r="J71" i="4"/>
  <c r="H71" i="4"/>
  <c r="F71" i="4"/>
  <c r="D71" i="4"/>
  <c r="L74" i="4"/>
  <c r="J74" i="4"/>
  <c r="H74" i="4"/>
  <c r="F74" i="4"/>
  <c r="D74" i="4"/>
  <c r="L82" i="4"/>
  <c r="J82" i="4"/>
  <c r="H82" i="4"/>
  <c r="F82" i="4"/>
  <c r="D82" i="4"/>
  <c r="L84" i="4"/>
  <c r="J84" i="4"/>
  <c r="H84" i="4"/>
  <c r="F84" i="4"/>
  <c r="D84" i="4"/>
  <c r="L85" i="4"/>
  <c r="J85" i="4"/>
  <c r="H85" i="4"/>
  <c r="F85" i="4"/>
  <c r="D85" i="4"/>
  <c r="L6" i="4"/>
  <c r="K6" i="4"/>
  <c r="H6" i="4"/>
  <c r="G6" i="4"/>
  <c r="D6" i="4"/>
  <c r="L14" i="4"/>
  <c r="J14" i="4"/>
  <c r="H14" i="4"/>
  <c r="F14" i="4"/>
  <c r="D14" i="4"/>
  <c r="L16" i="4"/>
  <c r="J16" i="4"/>
  <c r="H16" i="4"/>
  <c r="F16" i="4"/>
  <c r="L15" i="4"/>
  <c r="J15" i="4"/>
  <c r="H15" i="4"/>
  <c r="F15" i="4"/>
  <c r="D15" i="4"/>
  <c r="L12" i="4"/>
  <c r="J12" i="4"/>
  <c r="H12" i="4"/>
  <c r="F12" i="4"/>
  <c r="D12" i="4"/>
  <c r="L13" i="4"/>
  <c r="J13" i="4"/>
  <c r="H13" i="4"/>
  <c r="G13" i="4"/>
  <c r="F13" i="4" s="1"/>
  <c r="D13" i="4"/>
  <c r="L9" i="4"/>
  <c r="J9" i="4"/>
  <c r="H9" i="4"/>
  <c r="G9" i="4"/>
  <c r="F9" i="4" s="1"/>
  <c r="L20" i="4"/>
  <c r="J20" i="4"/>
  <c r="H20" i="4"/>
  <c r="F20" i="4"/>
  <c r="D20" i="4"/>
  <c r="L8" i="4"/>
  <c r="J8" i="4"/>
  <c r="H8" i="4"/>
  <c r="F8" i="4"/>
  <c r="L19" i="4"/>
  <c r="J19" i="4"/>
  <c r="H19" i="4"/>
  <c r="G19" i="4"/>
  <c r="F19" i="4" s="1"/>
  <c r="E19" i="4"/>
  <c r="D19" i="4" s="1"/>
  <c r="L38" i="4"/>
  <c r="J38" i="4"/>
  <c r="H38" i="4"/>
  <c r="F38" i="4"/>
  <c r="D38" i="4"/>
  <c r="L36" i="4"/>
  <c r="J36" i="4"/>
  <c r="H36" i="4"/>
  <c r="G36" i="4"/>
  <c r="F36" i="4" s="1"/>
  <c r="E36" i="4"/>
  <c r="D36" i="4" s="1"/>
  <c r="L43" i="4"/>
  <c r="J43" i="4"/>
  <c r="H43" i="4"/>
  <c r="F43" i="4"/>
  <c r="D43" i="4"/>
  <c r="L33" i="4"/>
  <c r="J33" i="4"/>
  <c r="I33" i="4"/>
  <c r="H33" i="4" s="1"/>
  <c r="G33" i="4"/>
  <c r="F33" i="4" s="1"/>
  <c r="E33" i="4"/>
  <c r="D33" i="4" s="1"/>
  <c r="J42" i="4"/>
  <c r="H42" i="4"/>
  <c r="F42" i="4"/>
  <c r="D42" i="4"/>
  <c r="J35" i="4"/>
  <c r="H35" i="4"/>
  <c r="F35" i="4"/>
  <c r="D35" i="4"/>
  <c r="H32" i="4"/>
  <c r="F32" i="4"/>
  <c r="D32" i="4"/>
  <c r="I40" i="4"/>
  <c r="E40" i="4"/>
  <c r="H37" i="4"/>
  <c r="F37" i="4"/>
  <c r="D37" i="4"/>
  <c r="J41" i="4"/>
  <c r="H41" i="4"/>
  <c r="F41" i="4"/>
  <c r="D41" i="4"/>
  <c r="K178" i="4" l="1"/>
  <c r="I6" i="4"/>
  <c r="I178" i="4" s="1"/>
  <c r="L178" i="4"/>
  <c r="J178" i="4"/>
  <c r="F178" i="4"/>
  <c r="E6" i="4"/>
  <c r="E178" i="4" s="1"/>
  <c r="D178" i="4"/>
  <c r="G178" i="4"/>
  <c r="H144" i="4"/>
  <c r="H178" i="4" s="1"/>
</calcChain>
</file>

<file path=xl/sharedStrings.xml><?xml version="1.0" encoding="utf-8"?>
<sst xmlns="http://schemas.openxmlformats.org/spreadsheetml/2006/main" count="802" uniqueCount="297">
  <si>
    <t>ROAD</t>
  </si>
  <si>
    <t>ROAD SEGMENT (CENTERLINE LENGTH)</t>
  </si>
  <si>
    <t>SOLID YELLOW          (CENTERLINE LENGTH)</t>
  </si>
  <si>
    <t>SOLID WHITE                     (CENTERLINE LENGTH)</t>
  </si>
  <si>
    <t>DASH WHITE                (CENTERLINE LENGTH *.25)</t>
  </si>
  <si>
    <t>BENTON</t>
  </si>
  <si>
    <t xml:space="preserve">County Road 16 </t>
  </si>
  <si>
    <t>County Road 20</t>
  </si>
  <si>
    <t>County Road 3</t>
  </si>
  <si>
    <t>County Road 20 - County Road 22</t>
  </si>
  <si>
    <t>County Road 100</t>
  </si>
  <si>
    <t xml:space="preserve">County Road 24 </t>
  </si>
  <si>
    <t>County Road 3 - Charlotte Ave</t>
  </si>
  <si>
    <t>Elkhart Jurisdiction (Charlotte Ave) - County Road 105</t>
  </si>
  <si>
    <t xml:space="preserve">County Road 105 </t>
  </si>
  <si>
    <t>County Road 24 - County Road 20</t>
  </si>
  <si>
    <t>County Road 26</t>
  </si>
  <si>
    <t>County Road 7</t>
  </si>
  <si>
    <t>County Road 26 - W Mishiwaka Rd</t>
  </si>
  <si>
    <t>County Road 9</t>
  </si>
  <si>
    <t xml:space="preserve">County Road 22 </t>
  </si>
  <si>
    <t>County Road 111</t>
  </si>
  <si>
    <t xml:space="preserve">Minuteman Way </t>
  </si>
  <si>
    <t>E Mishawaka Rd - County Road 13</t>
  </si>
  <si>
    <t xml:space="preserve">County Road 13 </t>
  </si>
  <si>
    <t xml:space="preserve">County Road 45 </t>
  </si>
  <si>
    <t xml:space="preserve">Old County Road 17 </t>
  </si>
  <si>
    <t>County Road 45 - County Road 18</t>
  </si>
  <si>
    <t>US Highway 33 - County Road 18</t>
  </si>
  <si>
    <t xml:space="preserve">County Road 115 </t>
  </si>
  <si>
    <t>County Road 18 - County Road 118</t>
  </si>
  <si>
    <t xml:space="preserve">County Road 13 - Goshen Ave </t>
  </si>
  <si>
    <t>County Road 15</t>
  </si>
  <si>
    <t xml:space="preserve">Old US 20 </t>
  </si>
  <si>
    <t>Meadwood Dr - Pine Arbor Dr</t>
  </si>
  <si>
    <t xml:space="preserve">County Road 18 </t>
  </si>
  <si>
    <t>Clayton St - County Road 29</t>
  </si>
  <si>
    <t xml:space="preserve">County Road 43 </t>
  </si>
  <si>
    <t>S County Line Rd - US Highway 6</t>
  </si>
  <si>
    <t xml:space="preserve">County Road 50 </t>
  </si>
  <si>
    <t>State Road 13 - E County Line</t>
  </si>
  <si>
    <t>County Road 29</t>
  </si>
  <si>
    <t xml:space="preserve">County Road 33 </t>
  </si>
  <si>
    <t>US Highway 6 - US Highway 33</t>
  </si>
  <si>
    <t xml:space="preserve">County Road 31 </t>
  </si>
  <si>
    <t>County Road 46 - County Road 36</t>
  </si>
  <si>
    <t xml:space="preserve">County Road 46 </t>
  </si>
  <si>
    <t>County Road 42</t>
  </si>
  <si>
    <t xml:space="preserve">County Road 42 </t>
  </si>
  <si>
    <t xml:space="preserve">County Road 25 </t>
  </si>
  <si>
    <t xml:space="preserve">County Road 142 </t>
  </si>
  <si>
    <t>County Road 42 -County Road 29</t>
  </si>
  <si>
    <t>County Road 23</t>
  </si>
  <si>
    <t>County Road 29 - County Road 17</t>
  </si>
  <si>
    <t xml:space="preserve">County Road 23 </t>
  </si>
  <si>
    <t>Main St - US Highway 6</t>
  </si>
  <si>
    <t xml:space="preserve">County Road 146 </t>
  </si>
  <si>
    <t>County Road 3N - Ash Road</t>
  </si>
  <si>
    <t>Ash Rd - County Road 3N</t>
  </si>
  <si>
    <t xml:space="preserve">County Road 3 </t>
  </si>
  <si>
    <t>County Road 12 - County Road 10</t>
  </si>
  <si>
    <t>County Road 8</t>
  </si>
  <si>
    <t>Ash Rd - County Road 1</t>
  </si>
  <si>
    <t>County Road 10</t>
  </si>
  <si>
    <t>County Road 3 - Ash Road</t>
  </si>
  <si>
    <t xml:space="preserve">County Road 10 </t>
  </si>
  <si>
    <t>John Weaver Pkwy - W Bristol St</t>
  </si>
  <si>
    <t>County Road 5</t>
  </si>
  <si>
    <t>Elkhart Jurisdiction (W Bristol St) - End</t>
  </si>
  <si>
    <t>County Road 6</t>
  </si>
  <si>
    <t>Ash Rd - John Weaver Pkwy</t>
  </si>
  <si>
    <t xml:space="preserve">County Road 1 </t>
  </si>
  <si>
    <t>County Road 10 - County Road 4</t>
  </si>
  <si>
    <t>Interstate Highway 80/90 - Elkhart Rd</t>
  </si>
  <si>
    <t xml:space="preserve">County Road 2 </t>
  </si>
  <si>
    <t>County Road 4</t>
  </si>
  <si>
    <t>Shady Ln - Elkhart City Limits (North of Edwards Rd)</t>
  </si>
  <si>
    <t>Country Club Dr - Merill St</t>
  </si>
  <si>
    <t>County Road 11</t>
  </si>
  <si>
    <t>County Road 106 - County Road 4</t>
  </si>
  <si>
    <t>County Road 4 - State Line Rd</t>
  </si>
  <si>
    <t>County Road 104 - State Line Rd</t>
  </si>
  <si>
    <t>Creekside Ln - Winding Waters Ln</t>
  </si>
  <si>
    <t>Elkhart East Blvd - County Road 21</t>
  </si>
  <si>
    <t xml:space="preserve">County Road 15 </t>
  </si>
  <si>
    <t>CLINTON</t>
  </si>
  <si>
    <t>County Road 34</t>
  </si>
  <si>
    <t>Hillcrest Dr - County Road 35</t>
  </si>
  <si>
    <t xml:space="preserve">County Road 32 </t>
  </si>
  <si>
    <t>State Road 13 - County Road 41</t>
  </si>
  <si>
    <t>County Road 35</t>
  </si>
  <si>
    <t xml:space="preserve">County Road 36 </t>
  </si>
  <si>
    <t>Brinkley Way - County Road 35</t>
  </si>
  <si>
    <t>County Road 40</t>
  </si>
  <si>
    <t>Dierdoff Rd - County Road 37</t>
  </si>
  <si>
    <t>CONCORD</t>
  </si>
  <si>
    <t>County Road 19</t>
  </si>
  <si>
    <t>County Road 14 - State Road 120</t>
  </si>
  <si>
    <t>US Highway 20 - Indiana Ave</t>
  </si>
  <si>
    <t>County Road 21</t>
  </si>
  <si>
    <t>County Road 19 - County Road 27</t>
  </si>
  <si>
    <t xml:space="preserve">County Road 26 </t>
  </si>
  <si>
    <t>State Road 15 - County Road 19</t>
  </si>
  <si>
    <t>County Road 28</t>
  </si>
  <si>
    <t xml:space="preserve">County Road 17 </t>
  </si>
  <si>
    <t>County Road 142 - County Road 28</t>
  </si>
  <si>
    <t xml:space="preserve">County Road 30 </t>
  </si>
  <si>
    <t>Bashor Rd - State Road 19</t>
  </si>
  <si>
    <t xml:space="preserve">County Road 38 </t>
  </si>
  <si>
    <t>Goshen City Limits (West of Violet Rd) - State Road 19</t>
  </si>
  <si>
    <t xml:space="preserve">County Road 40 </t>
  </si>
  <si>
    <t>State Road 15 - County Road 27</t>
  </si>
  <si>
    <t xml:space="preserve">County Road 27 </t>
  </si>
  <si>
    <t>HARRISON</t>
  </si>
  <si>
    <t>JACKSON</t>
  </si>
  <si>
    <t>JEFFERSON</t>
  </si>
  <si>
    <t>LOCKE</t>
  </si>
  <si>
    <t>W county Line Rd - County Road 46</t>
  </si>
  <si>
    <t>County Road 52</t>
  </si>
  <si>
    <t>State Road 19 - County Road 3</t>
  </si>
  <si>
    <t xml:space="preserve">County Road 7 </t>
  </si>
  <si>
    <t>State Road 19 - County Road 7</t>
  </si>
  <si>
    <t>Middlebury Town Limits (West of River Park Dr) - E County Line Rd</t>
  </si>
  <si>
    <t xml:space="preserve">County Road 22 - US Highway 20 </t>
  </si>
  <si>
    <t>US Highway 20 - County Road 14</t>
  </si>
  <si>
    <t>County Road 14</t>
  </si>
  <si>
    <t>County Road 33 - Krider Dr</t>
  </si>
  <si>
    <t>OLIVE</t>
  </si>
  <si>
    <t>OSOLO</t>
  </si>
  <si>
    <t>Suburban Dr - State Line Rd</t>
  </si>
  <si>
    <t>North Bend Dr - County Road 2</t>
  </si>
  <si>
    <t>WASHINGTON</t>
  </si>
  <si>
    <t>YORK</t>
  </si>
  <si>
    <t xml:space="preserve">County Road 35 </t>
  </si>
  <si>
    <t>County Road 8 - County Road 2</t>
  </si>
  <si>
    <t>County Road 2</t>
  </si>
  <si>
    <t>County Road 43 - County Road 37</t>
  </si>
  <si>
    <t>State Road 13 - County Road 39</t>
  </si>
  <si>
    <t>State Road 120 - Wyland Dr</t>
  </si>
  <si>
    <t>ROAD NAME</t>
  </si>
  <si>
    <t>BETWEEN ROADS</t>
  </si>
  <si>
    <t>MILES</t>
  </si>
  <si>
    <t>FEET</t>
  </si>
  <si>
    <t>TOWNSHIP</t>
  </si>
  <si>
    <t>TWP NAME</t>
  </si>
  <si>
    <t>County Road 20 - County Road 24</t>
  </si>
  <si>
    <t>W Mishawaka Rd</t>
  </si>
  <si>
    <t>E Mishawaka Rd - S Main St</t>
  </si>
  <si>
    <t>County Road 3 - County Road 113</t>
  </si>
  <si>
    <t>S County Line Rd - State Road 15</t>
  </si>
  <si>
    <t>County Road 31 - County Road 21</t>
  </si>
  <si>
    <t>County Road 46 - County Road 29</t>
  </si>
  <si>
    <t>Elkhart Jurisdiction (RxR) - County Road 12</t>
  </si>
  <si>
    <t>County Road 108 - County Road 10</t>
  </si>
  <si>
    <t>Rogers Rd - County Road 4</t>
  </si>
  <si>
    <t>Jeanwood Dr - County Road 4</t>
  </si>
  <si>
    <t>Bristol St - County Road 8</t>
  </si>
  <si>
    <t>County Road 10 - County Road 21</t>
  </si>
  <si>
    <t>US Highway 20 - Gunder Rd</t>
  </si>
  <si>
    <t xml:space="preserve">County Road 14 </t>
  </si>
  <si>
    <t>US Highway 20 - County Road 20</t>
  </si>
  <si>
    <t>Berkey Ave - County Road 9</t>
  </si>
  <si>
    <t>State Road 15 - County Road 7</t>
  </si>
  <si>
    <t>Elkhart St - Arnott St</t>
  </si>
  <si>
    <t>County Road 23 - County Road 19</t>
  </si>
  <si>
    <t>Elkhart St - Bristol St</t>
  </si>
  <si>
    <t>County Road 8 - County Road 39</t>
  </si>
  <si>
    <t>County Road 113</t>
  </si>
  <si>
    <t>County Road 28 - County Road 26</t>
  </si>
  <si>
    <t>Parkway Ave - Gunder Road</t>
  </si>
  <si>
    <t>County Road 150</t>
  </si>
  <si>
    <t>County Road 17 (SB)</t>
  </si>
  <si>
    <t>County Road 17 (NB)</t>
  </si>
  <si>
    <t>County Road 27</t>
  </si>
  <si>
    <t>County Road 14 - County Road 8</t>
  </si>
  <si>
    <t>County Road 28 - County Road 22</t>
  </si>
  <si>
    <t>County Road 28 - County Road 38</t>
  </si>
  <si>
    <t>State Road 13 - E County Line Rd</t>
  </si>
  <si>
    <t>Missouri Ave</t>
  </si>
  <si>
    <t>County Road 45 - Jurisdiction Line</t>
  </si>
  <si>
    <t>Old County Road 17</t>
  </si>
  <si>
    <t>County Road 30 - Willow Way</t>
  </si>
  <si>
    <t>Reliance Rd - Dead-End</t>
  </si>
  <si>
    <t>State Line Rd</t>
  </si>
  <si>
    <t>State Road 19 - County Road 17</t>
  </si>
  <si>
    <t>Elkhart Jurisdiction (South of US Highway 20) - County Road 18</t>
  </si>
  <si>
    <t>TOTAL</t>
  </si>
  <si>
    <t>Elkhart City Limits (East of SR 19) - County Road 15</t>
  </si>
  <si>
    <t>County Road 37 - County Road 22</t>
  </si>
  <si>
    <t>Ash Rd - County Road 3</t>
  </si>
  <si>
    <t>Country Road 5</t>
  </si>
  <si>
    <t>Country Road 3</t>
  </si>
  <si>
    <t>Country Road 4</t>
  </si>
  <si>
    <t>Country Road 1</t>
  </si>
  <si>
    <t>Country Road 10</t>
  </si>
  <si>
    <t>Country Road 6</t>
  </si>
  <si>
    <t>Country Road 8</t>
  </si>
  <si>
    <t>Country Road 12</t>
  </si>
  <si>
    <t>Old US 20</t>
  </si>
  <si>
    <t>Country Road 16</t>
  </si>
  <si>
    <t>Old US 33</t>
  </si>
  <si>
    <t>Country Road 20</t>
  </si>
  <si>
    <t>Country Road 18</t>
  </si>
  <si>
    <t>County Road 29 - County Road 31</t>
  </si>
  <si>
    <t>County Road 4 - County Road 6</t>
  </si>
  <si>
    <t>Elkhart St - Bristol Ave</t>
  </si>
  <si>
    <t>Ash Rd - State Road 19</t>
  </si>
  <si>
    <t>MILES2</t>
  </si>
  <si>
    <t>FEET3</t>
  </si>
  <si>
    <t>MILES4</t>
  </si>
  <si>
    <t>FEET5</t>
  </si>
  <si>
    <t>MILES6</t>
  </si>
  <si>
    <t>FEET7</t>
  </si>
  <si>
    <t>MILES8</t>
  </si>
  <si>
    <t>FEET9</t>
  </si>
  <si>
    <t xml:space="preserve"> BAUGO</t>
  </si>
  <si>
    <t>CLEVLAND</t>
  </si>
  <si>
    <t>ELKHART</t>
  </si>
  <si>
    <t>MIDDLEBURY</t>
  </si>
  <si>
    <t>State Road 15 - Alley South of 5th St.</t>
  </si>
  <si>
    <t>County Road 22 - County Road 26</t>
  </si>
  <si>
    <t>Toledo Rd - Elkhart Jurisdiction Line (Central Creekside Dr)</t>
  </si>
  <si>
    <t>Ash Road - Woodrow St</t>
  </si>
  <si>
    <t>County Road 6 - Country Road 8</t>
  </si>
  <si>
    <t>County Road 9 - County Road 13</t>
  </si>
  <si>
    <t>County Road 5 - Dead End</t>
  </si>
  <si>
    <t xml:space="preserve"> County Road 14 - Country Road 22</t>
  </si>
  <si>
    <t xml:space="preserve"> Ash Road - Waterford St</t>
  </si>
  <si>
    <t>Brentwood Dr - Lincoln St</t>
  </si>
  <si>
    <t>Lincoln St - County Road 43</t>
  </si>
  <si>
    <t>Clayton St - County Road 17</t>
  </si>
  <si>
    <t>Ash Road - Nappanee St</t>
  </si>
  <si>
    <t>Gunder Rd - State Road 15</t>
  </si>
  <si>
    <t>Jurisdiction Line - Dierdoff Rd</t>
  </si>
  <si>
    <t>DASH YELLOW  (CENTERLINE LENGTH * .25)</t>
  </si>
  <si>
    <t>County Road 105 - C Ln</t>
  </si>
  <si>
    <t>Ash Road - Elkhart City Limits (Napanee St)</t>
  </si>
  <si>
    <t>W Mishawaka Rd - E Mishawaka Rd</t>
  </si>
  <si>
    <t>County Road 10- Timestone Ct</t>
  </si>
  <si>
    <t>County Road 115 - County Road 19</t>
  </si>
  <si>
    <t>Old County Road 17 - County Road 19</t>
  </si>
  <si>
    <t>Ridgeview Dr - County Road 146</t>
  </si>
  <si>
    <t>UNION</t>
  </si>
  <si>
    <t>County Road 46 - State Road 119</t>
  </si>
  <si>
    <t>State Road 15 - County Road 11</t>
  </si>
  <si>
    <t>County Road 15 - County Road 13</t>
  </si>
  <si>
    <t>County Road 7 - County Road 11</t>
  </si>
  <si>
    <t>Belmar Dr - County Road 20</t>
  </si>
  <si>
    <t>Zollinger Rd  - County Road 37</t>
  </si>
  <si>
    <t>County Road 20 - County Road 18</t>
  </si>
  <si>
    <t>SPLITS TO JACKSON</t>
  </si>
  <si>
    <t>SPLITS TO CLINTON</t>
  </si>
  <si>
    <t>SPLITS TO CONCORD</t>
  </si>
  <si>
    <t>ALSO IN CLEVELAND</t>
  </si>
  <si>
    <t>County Road 16 - Old US 33</t>
  </si>
  <si>
    <t>Corwin Rd</t>
  </si>
  <si>
    <t>Old US 20 - Corwin Rd</t>
  </si>
  <si>
    <t>County Road 108</t>
  </si>
  <si>
    <t>County Road 101 - County Road 3</t>
  </si>
  <si>
    <t>County Road 1 - North Pointe Blvd</t>
  </si>
  <si>
    <t>Interstate Highway 80/90 - State Line</t>
  </si>
  <si>
    <t>Arlene Ave</t>
  </si>
  <si>
    <t>County Road 13 - Lewis St</t>
  </si>
  <si>
    <t xml:space="preserve">Lewis St </t>
  </si>
  <si>
    <t>Arlene Ave - US Highway 33</t>
  </si>
  <si>
    <t>County Road 16 - Parkwood PL</t>
  </si>
  <si>
    <t>SPLITS</t>
  </si>
  <si>
    <t>County Road 30 - Desmond Ave</t>
  </si>
  <si>
    <t>US 33 - County Road 32</t>
  </si>
  <si>
    <t>SPLITS TO HARRISON</t>
  </si>
  <si>
    <t>County Road 40 - State Road 119</t>
  </si>
  <si>
    <t>County Road 36 - County Road 38</t>
  </si>
  <si>
    <t>County Road 26 - State Road 119</t>
  </si>
  <si>
    <t>County Road 28 - County Road 30</t>
  </si>
  <si>
    <t>County Road 26 - County Road 20</t>
  </si>
  <si>
    <t>ALSO IN UNION</t>
  </si>
  <si>
    <t>US Highway 6 - County Road 54</t>
  </si>
  <si>
    <t>SPLITS IN TO WASHINGTON</t>
  </si>
  <si>
    <t>SPLITS INTO MIDDLEBURY</t>
  </si>
  <si>
    <t>County Road 14 - County Road 10</t>
  </si>
  <si>
    <t>County Road 43 - Middlebury town Limits</t>
  </si>
  <si>
    <t>County Road 12</t>
  </si>
  <si>
    <t>County Road 37 - State Road 13</t>
  </si>
  <si>
    <t>County Road 43 - Dead-End</t>
  </si>
  <si>
    <t>ALSO IN YORK</t>
  </si>
  <si>
    <t>County Road 35 - State Road 15</t>
  </si>
  <si>
    <t>ALSO IN OSOLO</t>
  </si>
  <si>
    <t>SPLITS INTO MIDDLEBURY/WASHINGTON</t>
  </si>
  <si>
    <t>ALSO IN HARRSION</t>
  </si>
  <si>
    <t>ALSO IN HARRISSON</t>
  </si>
  <si>
    <t>SPLITS IN TO JEFFERSON</t>
  </si>
  <si>
    <t>SPLITS INTO WASHINGTON</t>
  </si>
  <si>
    <t>SPLITS IN TO MIDDLEBURY</t>
  </si>
  <si>
    <t>SPLITS IN TO HARRISON</t>
  </si>
  <si>
    <t>SPLITS IN TO ELKHART</t>
  </si>
  <si>
    <t>SPLITS IN TO CONCORD</t>
  </si>
  <si>
    <t>County Road 30 - Wakarusa Town Limits (North of Wildcat Dr)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</si>
</sst>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8" xfId="0" applyBorder="1" applyAlignment="1">
      <alignment horizontal="center" vertical="center"/>
    </xf>
    <xf numFmtId="43" fontId="0" fillId="0" borderId="5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6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43" fontId="0" fillId="0" borderId="0" xfId="0" applyNumberFormat="1"/>
    <xf numFmtId="43" fontId="0" fillId="0" borderId="0" xfId="0" applyNumberFormat="1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0" fillId="0" borderId="5" xfId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43" fontId="0" fillId="2" borderId="5" xfId="1" applyFont="1" applyFill="1" applyBorder="1" applyAlignment="1">
      <alignment horizontal="center" vertical="center"/>
    </xf>
    <xf numFmtId="43" fontId="0" fillId="2" borderId="6" xfId="1" applyFont="1" applyFill="1" applyBorder="1" applyAlignment="1">
      <alignment horizontal="center" vertical="center"/>
    </xf>
    <xf numFmtId="0" fontId="0" fillId="8" borderId="0" xfId="0" applyFill="1"/>
    <xf numFmtId="0" fontId="0" fillId="9" borderId="0" xfId="0" applyFill="1"/>
    <xf numFmtId="43" fontId="0" fillId="0" borderId="0" xfId="1" applyFont="1" applyFill="1" applyBorder="1" applyAlignment="1">
      <alignment horizontal="center" vertical="center"/>
    </xf>
    <xf numFmtId="0" fontId="4" fillId="0" borderId="0" xfId="0" applyFont="1"/>
    <xf numFmtId="43" fontId="0" fillId="5" borderId="16" xfId="1" applyFont="1" applyFill="1" applyBorder="1" applyAlignment="1">
      <alignment horizontal="center" vertical="center"/>
    </xf>
    <xf numFmtId="43" fontId="0" fillId="6" borderId="2" xfId="1" applyFont="1" applyFill="1" applyBorder="1" applyAlignment="1">
      <alignment horizontal="center" vertical="center"/>
    </xf>
    <xf numFmtId="43" fontId="0" fillId="6" borderId="4" xfId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3" fontId="0" fillId="0" borderId="29" xfId="1" applyFont="1" applyFill="1" applyBorder="1" applyAlignment="1">
      <alignment horizontal="center" vertical="center"/>
    </xf>
    <xf numFmtId="43" fontId="0" fillId="0" borderId="21" xfId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43" fontId="6" fillId="0" borderId="29" xfId="1" applyFont="1" applyFill="1" applyBorder="1" applyAlignment="1">
      <alignment horizontal="center" vertical="center"/>
    </xf>
    <xf numFmtId="43" fontId="6" fillId="0" borderId="21" xfId="1" applyFont="1" applyFill="1" applyBorder="1" applyAlignment="1">
      <alignment horizontal="center" vertical="center"/>
    </xf>
    <xf numFmtId="0" fontId="6" fillId="0" borderId="0" xfId="0" applyFont="1"/>
    <xf numFmtId="43" fontId="0" fillId="2" borderId="2" xfId="1" applyFont="1" applyFill="1" applyBorder="1" applyAlignment="1">
      <alignment horizontal="center" vertical="center"/>
    </xf>
    <xf numFmtId="43" fontId="0" fillId="2" borderId="4" xfId="1" applyFont="1" applyFill="1" applyBorder="1" applyAlignment="1">
      <alignment horizontal="center" vertical="center"/>
    </xf>
    <xf numFmtId="43" fontId="0" fillId="2" borderId="0" xfId="1" applyFont="1" applyFill="1" applyBorder="1" applyAlignment="1">
      <alignment horizontal="center" vertical="center"/>
    </xf>
    <xf numFmtId="43" fontId="0" fillId="2" borderId="29" xfId="1" applyFont="1" applyFill="1" applyBorder="1" applyAlignment="1">
      <alignment horizontal="center" vertical="center"/>
    </xf>
    <xf numFmtId="43" fontId="0" fillId="2" borderId="21" xfId="1" applyFont="1" applyFill="1" applyBorder="1" applyAlignment="1">
      <alignment horizontal="center" vertical="center"/>
    </xf>
    <xf numFmtId="43" fontId="6" fillId="2" borderId="29" xfId="1" applyFont="1" applyFill="1" applyBorder="1" applyAlignment="1">
      <alignment horizontal="center" vertical="center"/>
    </xf>
    <xf numFmtId="43" fontId="6" fillId="2" borderId="21" xfId="1" applyFont="1" applyFill="1" applyBorder="1" applyAlignment="1">
      <alignment horizontal="center" vertical="center"/>
    </xf>
    <xf numFmtId="43" fontId="0" fillId="3" borderId="2" xfId="1" applyFont="1" applyFill="1" applyBorder="1" applyAlignment="1">
      <alignment horizontal="center" vertical="center"/>
    </xf>
    <xf numFmtId="43" fontId="0" fillId="3" borderId="4" xfId="1" applyFont="1" applyFill="1" applyBorder="1" applyAlignment="1">
      <alignment horizontal="center" vertical="center"/>
    </xf>
    <xf numFmtId="43" fontId="0" fillId="3" borderId="5" xfId="1" applyFont="1" applyFill="1" applyBorder="1" applyAlignment="1">
      <alignment horizontal="center" vertical="center"/>
    </xf>
    <xf numFmtId="43" fontId="0" fillId="3" borderId="6" xfId="1" applyFont="1" applyFill="1" applyBorder="1" applyAlignment="1">
      <alignment horizontal="center" vertical="center"/>
    </xf>
    <xf numFmtId="43" fontId="0" fillId="3" borderId="0" xfId="1" applyFont="1" applyFill="1" applyBorder="1" applyAlignment="1">
      <alignment horizontal="center" vertical="center"/>
    </xf>
    <xf numFmtId="43" fontId="0" fillId="3" borderId="29" xfId="1" applyFont="1" applyFill="1" applyBorder="1" applyAlignment="1">
      <alignment horizontal="center" vertical="center"/>
    </xf>
    <xf numFmtId="43" fontId="0" fillId="3" borderId="21" xfId="1" applyFont="1" applyFill="1" applyBorder="1" applyAlignment="1">
      <alignment horizontal="center" vertical="center"/>
    </xf>
    <xf numFmtId="43" fontId="0" fillId="3" borderId="3" xfId="1" applyFont="1" applyFill="1" applyBorder="1" applyAlignment="1">
      <alignment horizontal="center" vertical="center"/>
    </xf>
    <xf numFmtId="43" fontId="6" fillId="3" borderId="29" xfId="1" applyFont="1" applyFill="1" applyBorder="1" applyAlignment="1">
      <alignment horizontal="center" vertical="center"/>
    </xf>
    <xf numFmtId="43" fontId="6" fillId="3" borderId="21" xfId="1" applyFont="1" applyFill="1" applyBorder="1" applyAlignment="1">
      <alignment horizontal="center" vertical="center"/>
    </xf>
    <xf numFmtId="43" fontId="0" fillId="4" borderId="2" xfId="1" applyFont="1" applyFill="1" applyBorder="1" applyAlignment="1">
      <alignment horizontal="center" vertical="center"/>
    </xf>
    <xf numFmtId="43" fontId="0" fillId="4" borderId="4" xfId="1" applyFont="1" applyFill="1" applyBorder="1" applyAlignment="1">
      <alignment horizontal="center" vertical="center"/>
    </xf>
    <xf numFmtId="43" fontId="0" fillId="4" borderId="5" xfId="1" applyFont="1" applyFill="1" applyBorder="1" applyAlignment="1">
      <alignment horizontal="center" vertical="center"/>
    </xf>
    <xf numFmtId="43" fontId="0" fillId="4" borderId="0" xfId="1" applyFont="1" applyFill="1" applyBorder="1" applyAlignment="1">
      <alignment horizontal="center" vertical="center"/>
    </xf>
    <xf numFmtId="43" fontId="0" fillId="4" borderId="11" xfId="1" applyFont="1" applyFill="1" applyBorder="1" applyAlignment="1">
      <alignment horizontal="center" vertical="center"/>
    </xf>
    <xf numFmtId="43" fontId="0" fillId="4" borderId="29" xfId="1" applyFont="1" applyFill="1" applyBorder="1" applyAlignment="1">
      <alignment horizontal="center" vertical="center"/>
    </xf>
    <xf numFmtId="43" fontId="0" fillId="4" borderId="18" xfId="1" applyFont="1" applyFill="1" applyBorder="1" applyAlignment="1">
      <alignment horizontal="center" vertical="center"/>
    </xf>
    <xf numFmtId="43" fontId="0" fillId="4" borderId="0" xfId="1" applyFont="1" applyFill="1" applyAlignment="1">
      <alignment horizontal="center" vertical="center"/>
    </xf>
    <xf numFmtId="43" fontId="0" fillId="4" borderId="3" xfId="1" applyFont="1" applyFill="1" applyBorder="1" applyAlignment="1">
      <alignment horizontal="center" vertical="center"/>
    </xf>
    <xf numFmtId="43" fontId="6" fillId="4" borderId="29" xfId="1" applyFont="1" applyFill="1" applyBorder="1" applyAlignment="1">
      <alignment horizontal="center" vertical="center"/>
    </xf>
    <xf numFmtId="43" fontId="6" fillId="4" borderId="18" xfId="1" applyFont="1" applyFill="1" applyBorder="1" applyAlignment="1">
      <alignment horizontal="center" vertical="center"/>
    </xf>
    <xf numFmtId="43" fontId="0" fillId="2" borderId="16" xfId="1" applyFont="1" applyFill="1" applyBorder="1" applyAlignment="1">
      <alignment horizontal="center" vertical="center"/>
    </xf>
    <xf numFmtId="43" fontId="0" fillId="3" borderId="16" xfId="1" applyFont="1" applyFill="1" applyBorder="1" applyAlignment="1">
      <alignment horizontal="center" vertical="center"/>
    </xf>
    <xf numFmtId="43" fontId="0" fillId="7" borderId="16" xfId="1" applyFont="1" applyFill="1" applyBorder="1" applyAlignment="1">
      <alignment horizontal="center" vertical="center"/>
    </xf>
    <xf numFmtId="43" fontId="0" fillId="4" borderId="16" xfId="1" applyFont="1" applyFill="1" applyBorder="1" applyAlignment="1">
      <alignment horizontal="center" vertical="center"/>
    </xf>
    <xf numFmtId="43" fontId="0" fillId="4" borderId="17" xfId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5" borderId="28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4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thick">
          <color rgb="FF000000"/>
        </left>
        <right style="thick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thick">
          <color rgb="FF000000"/>
        </left>
        <right style="thick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thick">
          <color indexed="64"/>
        </left>
        <right style="thick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1C671AF-9B63-40C4-B805-AA89F9D546BB}" name="Table4" displayName="Table4" ref="A4:M176" totalsRowShown="0" headerRowBorderDxfId="44" tableBorderDxfId="43">
  <autoFilter ref="A4:M176" xr:uid="{21C671AF-9B63-40C4-B805-AA89F9D546BB}"/>
  <sortState xmlns:xlrd2="http://schemas.microsoft.com/office/spreadsheetml/2017/richdata2" ref="A5:M176">
    <sortCondition ref="A6:A176"/>
    <sortCondition ref="B6:B176"/>
  </sortState>
  <tableColumns count="13">
    <tableColumn id="1" xr3:uid="{FC41AFD6-00C6-4646-BA93-2713ED5F4160}" name="TWP NAME" dataDxfId="42"/>
    <tableColumn id="2" xr3:uid="{37675877-8A25-48E7-82B2-82A89CAD8A3F}" name="ROAD NAME" dataDxfId="41"/>
    <tableColumn id="3" xr3:uid="{E5C3E810-CD0A-4277-959B-00B623729762}" name="BETWEEN ROADS" dataDxfId="40"/>
    <tableColumn id="4" xr3:uid="{856796C9-475D-43A2-BD07-7CC2188D8206}" name="MILES" dataDxfId="39" dataCellStyle="Comma"/>
    <tableColumn id="5" xr3:uid="{4CFDEB25-47A0-4FA4-97D6-708AA1A070BE}" name="FEET" dataDxfId="38" dataCellStyle="Comma"/>
    <tableColumn id="6" xr3:uid="{3141FA8D-71D6-46C7-A66F-1C9EC1D2F943}" name="MILES2" dataDxfId="37" dataCellStyle="Comma"/>
    <tableColumn id="7" xr3:uid="{001AD5F1-CEB6-4A20-9B04-0A55EF524E85}" name="FEET3" dataDxfId="36" dataCellStyle="Comma"/>
    <tableColumn id="8" xr3:uid="{683BB59C-A0CF-413F-9BF0-1BCBD7922EC4}" name="MILES4" dataDxfId="35" dataCellStyle="Comma"/>
    <tableColumn id="9" xr3:uid="{FE50B658-CFBE-4780-9110-94CD9EC40A0A}" name="FEET5" dataDxfId="34" dataCellStyle="Comma"/>
    <tableColumn id="10" xr3:uid="{A7F43F4E-1B7A-4DA1-9312-70E0D524149F}" name="MILES6" dataDxfId="33" dataCellStyle="Comma"/>
    <tableColumn id="11" xr3:uid="{63B656B0-21EA-485C-96B9-DA7719E26A58}" name="FEET7" dataDxfId="32" dataCellStyle="Comma"/>
    <tableColumn id="12" xr3:uid="{836DDA12-AFB1-4C86-8CA5-74D79B88DC94}" name="MILES8" dataDxfId="31" dataCellStyle="Comma"/>
    <tableColumn id="13" xr3:uid="{D40D40BE-BC7A-4298-BDA9-E0E1F07EA43E}" name="FEET9" dataDxfId="30" dataCellStyle="Comma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7FAC6C2-7113-4B0C-8C91-EB720B539DF5}" name="Table42" displayName="Table42" ref="A4:M137" totalsRowShown="0" headerRowBorderDxfId="29" tableBorderDxfId="28">
  <autoFilter ref="A4:M137" xr:uid="{21C671AF-9B63-40C4-B805-AA89F9D546BB}"/>
  <sortState xmlns:xlrd2="http://schemas.microsoft.com/office/spreadsheetml/2017/richdata2" ref="A5:M137">
    <sortCondition ref="A6:A137"/>
    <sortCondition ref="B6:B137"/>
  </sortState>
  <tableColumns count="13">
    <tableColumn id="1" xr3:uid="{8F1DFD29-930D-4F5F-AF50-7183A73E3B45}" name="TWP NAME" dataDxfId="27"/>
    <tableColumn id="2" xr3:uid="{9DE12BE5-C231-4547-84AF-8CDDEC8A9227}" name="ROAD NAME" dataDxfId="26"/>
    <tableColumn id="3" xr3:uid="{7E35E6B6-1BAF-49E4-A09D-90E2F7CF36C9}" name="BETWEEN ROADS" dataDxfId="25"/>
    <tableColumn id="4" xr3:uid="{52948843-340B-470E-8952-67DCB2D9BB64}" name="MILES" dataDxfId="24" dataCellStyle="Comma"/>
    <tableColumn id="5" xr3:uid="{FBA4DB3B-ECD2-43DF-BBF0-78A419FF0FC6}" name="FEET" dataDxfId="23" dataCellStyle="Comma"/>
    <tableColumn id="6" xr3:uid="{8A4BDADC-6E00-4969-B0EC-B209EA841438}" name="MILES2" dataDxfId="22" dataCellStyle="Comma"/>
    <tableColumn id="7" xr3:uid="{A266AADE-6F05-4562-9FFA-8FB4031C09C4}" name="FEET3" dataDxfId="21" dataCellStyle="Comma"/>
    <tableColumn id="8" xr3:uid="{D39B158D-E3B1-4374-B7DC-3B2638AB97B3}" name="MILES4" dataDxfId="20" dataCellStyle="Comma"/>
    <tableColumn id="9" xr3:uid="{AAC60A55-DAE9-4B87-9669-FC3A0145F2B0}" name="FEET5" dataDxfId="19" dataCellStyle="Comma"/>
    <tableColumn id="10" xr3:uid="{C5E92B25-9508-453E-A2ED-41866253336F}" name="MILES6" dataDxfId="18" dataCellStyle="Comma"/>
    <tableColumn id="11" xr3:uid="{83B55698-3A4A-4A21-83DC-A4CF74266F96}" name="FEET7" dataDxfId="17" dataCellStyle="Comma"/>
    <tableColumn id="12" xr3:uid="{0CF5D081-68C1-4BC5-BA04-6A202C624714}" name="MILES8" dataDxfId="16" dataCellStyle="Comma"/>
    <tableColumn id="13" xr3:uid="{A4BDA848-373F-4362-B38D-50CD8A6BDFAD}" name="FEET9" dataDxfId="15" dataCellStyle="Comma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99DE131-3A8A-4371-93EF-FA38F4712076}" name="Table423" displayName="Table423" ref="A4:M62" totalsRowShown="0" headerRowBorderDxfId="14" tableBorderDxfId="13">
  <autoFilter ref="A4:M62" xr:uid="{21C671AF-9B63-40C4-B805-AA89F9D546BB}"/>
  <sortState xmlns:xlrd2="http://schemas.microsoft.com/office/spreadsheetml/2017/richdata2" ref="A5:M62">
    <sortCondition ref="A6:A62"/>
    <sortCondition ref="B6:B62"/>
  </sortState>
  <tableColumns count="13">
    <tableColumn id="1" xr3:uid="{F6DDD5BA-6CD9-4E2A-838B-3AC110E4173E}" name="TWP NAME" dataDxfId="12"/>
    <tableColumn id="2" xr3:uid="{C6BFED18-1BE9-4C81-8F91-6738339526E3}" name="ROAD NAME" dataDxfId="11"/>
    <tableColumn id="3" xr3:uid="{34260DC5-B97B-48BE-99B8-6F7D4EC4C6CB}" name="BETWEEN ROADS" dataDxfId="10"/>
    <tableColumn id="4" xr3:uid="{F8CAF1D1-3FC0-4543-B6C9-FFDCA38576CD}" name="MILES" dataDxfId="9" dataCellStyle="Comma"/>
    <tableColumn id="5" xr3:uid="{79F905A5-57A9-48F1-BCA5-F829E9BE110E}" name="FEET" dataDxfId="8" dataCellStyle="Comma"/>
    <tableColumn id="6" xr3:uid="{9D1FD5EF-1523-4237-A20A-03BCDEB4787F}" name="MILES2" dataDxfId="7" dataCellStyle="Comma"/>
    <tableColumn id="7" xr3:uid="{EB51DE43-0AE7-44FB-B835-0AFAA5900CD6}" name="FEET3" dataDxfId="6" dataCellStyle="Comma"/>
    <tableColumn id="8" xr3:uid="{D283D33A-1BD9-4197-873F-D21A02BE54EB}" name="MILES4" dataDxfId="5" dataCellStyle="Comma"/>
    <tableColumn id="9" xr3:uid="{96A37B06-6880-45B0-8B82-4ED0ECADF11B}" name="FEET5" dataDxfId="4" dataCellStyle="Comma"/>
    <tableColumn id="10" xr3:uid="{CD7135F3-6CD3-4072-8AF2-64EE00D0BE87}" name="MILES6" dataDxfId="3" dataCellStyle="Comma"/>
    <tableColumn id="11" xr3:uid="{75883156-0DCC-4587-8344-D5B0B6DCA51D}" name="FEET7" dataDxfId="2" dataCellStyle="Comma"/>
    <tableColumn id="12" xr3:uid="{7F453FF9-17CE-4928-8E19-0BE6C55DEED6}" name="MILES8" dataDxfId="1" dataCellStyle="Comma"/>
    <tableColumn id="13" xr3:uid="{C47B0B34-EEDE-4D40-B14D-4C745A8A50F0}" name="FEET9" dataDxfId="0" dataCellStyle="Comm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C73AB-BB80-4BEF-A4AE-9619B565EA33}">
  <sheetPr>
    <pageSetUpPr fitToPage="1"/>
  </sheetPr>
  <dimension ref="A1:BV187"/>
  <sheetViews>
    <sheetView zoomScale="85" zoomScaleNormal="85" zoomScalePageLayoutView="70" workbookViewId="0">
      <pane ySplit="3" topLeftCell="A129" activePane="bottomLeft" state="frozen"/>
      <selection pane="bottomLeft" activeCell="C92" sqref="C92"/>
    </sheetView>
  </sheetViews>
  <sheetFormatPr defaultRowHeight="15" x14ac:dyDescent="0.25"/>
  <cols>
    <col min="1" max="1" width="25.7109375" style="6" bestFit="1" customWidth="1"/>
    <col min="2" max="2" width="28.7109375" style="4" customWidth="1"/>
    <col min="3" max="3" width="70.7109375" style="4" customWidth="1"/>
    <col min="4" max="4" width="13.28515625" style="4" hidden="1" customWidth="1"/>
    <col min="5" max="5" width="2.28515625" style="4" hidden="1" customWidth="1"/>
    <col min="6" max="6" width="14.28515625" style="4" customWidth="1"/>
    <col min="7" max="7" width="13.28515625" style="4" bestFit="1" customWidth="1"/>
    <col min="8" max="8" width="14.5703125" style="4" customWidth="1"/>
    <col min="9" max="9" width="16.85546875" style="4" customWidth="1"/>
    <col min="10" max="10" width="14.42578125" style="4" customWidth="1"/>
    <col min="11" max="11" width="13.28515625" style="4" bestFit="1" customWidth="1"/>
    <col min="12" max="12" width="15.140625" style="4" customWidth="1"/>
    <col min="13" max="13" width="12.85546875" style="4" customWidth="1"/>
    <col min="14" max="14" width="5.140625" customWidth="1"/>
    <col min="16" max="16" width="10.5703125" bestFit="1" customWidth="1"/>
    <col min="17" max="17" width="17.7109375" bestFit="1" customWidth="1"/>
    <col min="18" max="18" width="11.5703125" bestFit="1" customWidth="1"/>
    <col min="19" max="19" width="10.5703125" bestFit="1" customWidth="1"/>
    <col min="20" max="20" width="10.7109375" customWidth="1"/>
    <col min="21" max="21" width="9.28515625" bestFit="1" customWidth="1"/>
  </cols>
  <sheetData>
    <row r="1" spans="1:13" ht="15.75" thickTop="1" x14ac:dyDescent="0.25">
      <c r="A1" s="93" t="s">
        <v>143</v>
      </c>
      <c r="B1" s="96" t="s">
        <v>0</v>
      </c>
      <c r="C1" s="96" t="s">
        <v>140</v>
      </c>
      <c r="D1" s="81" t="s">
        <v>1</v>
      </c>
      <c r="E1" s="82"/>
      <c r="F1" s="99" t="s">
        <v>2</v>
      </c>
      <c r="G1" s="100"/>
      <c r="H1" s="105" t="s">
        <v>234</v>
      </c>
      <c r="I1" s="106"/>
      <c r="J1" s="81" t="s">
        <v>3</v>
      </c>
      <c r="K1" s="82"/>
      <c r="L1" s="87" t="s">
        <v>4</v>
      </c>
      <c r="M1" s="88"/>
    </row>
    <row r="2" spans="1:13" ht="7.15" customHeight="1" x14ac:dyDescent="0.25">
      <c r="A2" s="94"/>
      <c r="B2" s="97"/>
      <c r="C2" s="97"/>
      <c r="D2" s="83"/>
      <c r="E2" s="84"/>
      <c r="F2" s="101"/>
      <c r="G2" s="102"/>
      <c r="H2" s="107"/>
      <c r="I2" s="108"/>
      <c r="J2" s="83"/>
      <c r="K2" s="84"/>
      <c r="L2" s="89"/>
      <c r="M2" s="90"/>
    </row>
    <row r="3" spans="1:13" ht="30.6" customHeight="1" thickBot="1" x14ac:dyDescent="0.3">
      <c r="A3" s="95"/>
      <c r="B3" s="98"/>
      <c r="C3" s="98"/>
      <c r="D3" s="85"/>
      <c r="E3" s="86"/>
      <c r="F3" s="103"/>
      <c r="G3" s="104"/>
      <c r="H3" s="109"/>
      <c r="I3" s="110"/>
      <c r="J3" s="85"/>
      <c r="K3" s="86"/>
      <c r="L3" s="91"/>
      <c r="M3" s="92"/>
    </row>
    <row r="4" spans="1:13" ht="17.25" customHeight="1" thickBot="1" x14ac:dyDescent="0.3">
      <c r="A4" s="15" t="s">
        <v>144</v>
      </c>
      <c r="B4" s="24" t="s">
        <v>139</v>
      </c>
      <c r="C4" s="24" t="s">
        <v>140</v>
      </c>
      <c r="D4" s="20" t="s">
        <v>141</v>
      </c>
      <c r="E4" s="21" t="s">
        <v>142</v>
      </c>
      <c r="F4" s="18" t="s">
        <v>207</v>
      </c>
      <c r="G4" s="19" t="s">
        <v>208</v>
      </c>
      <c r="H4" s="16" t="s">
        <v>209</v>
      </c>
      <c r="I4" s="17" t="s">
        <v>210</v>
      </c>
      <c r="J4" s="20" t="s">
        <v>211</v>
      </c>
      <c r="K4" s="21" t="s">
        <v>212</v>
      </c>
      <c r="L4" s="22" t="s">
        <v>213</v>
      </c>
      <c r="M4" s="23" t="s">
        <v>214</v>
      </c>
    </row>
    <row r="5" spans="1:13" ht="17.25" customHeight="1" thickBot="1" x14ac:dyDescent="0.3">
      <c r="A5" s="26" t="s">
        <v>215</v>
      </c>
      <c r="B5" s="26"/>
      <c r="C5" s="26"/>
      <c r="D5" s="34"/>
      <c r="E5" s="35"/>
      <c r="F5" s="45"/>
      <c r="G5" s="46"/>
      <c r="H5" s="52"/>
      <c r="I5" s="53"/>
      <c r="J5" s="34"/>
      <c r="K5" s="35"/>
      <c r="L5" s="62"/>
      <c r="M5" s="63"/>
    </row>
    <row r="6" spans="1:13" x14ac:dyDescent="0.25">
      <c r="A6" s="14"/>
      <c r="B6" s="36" t="s">
        <v>17</v>
      </c>
      <c r="C6" s="1" t="s">
        <v>18</v>
      </c>
      <c r="D6" s="13">
        <f>4.136-1.925</f>
        <v>2.2110000000000003</v>
      </c>
      <c r="E6" s="5">
        <f>D6*5280</f>
        <v>11674.080000000002</v>
      </c>
      <c r="F6" s="27">
        <f>5.61-1.457</f>
        <v>4.1530000000000005</v>
      </c>
      <c r="G6" s="28">
        <f>F6*5280</f>
        <v>21927.840000000004</v>
      </c>
      <c r="H6" s="54">
        <f>0.22</f>
        <v>0.22</v>
      </c>
      <c r="I6" s="55">
        <f>H6*5280</f>
        <v>1161.5999999999999</v>
      </c>
      <c r="J6" s="13">
        <v>4.26</v>
      </c>
      <c r="K6" s="5">
        <f>J6*5280</f>
        <v>22492.799999999999</v>
      </c>
      <c r="L6" s="64">
        <f>M6/5280</f>
        <v>0</v>
      </c>
      <c r="M6" s="65"/>
    </row>
    <row r="7" spans="1:13" x14ac:dyDescent="0.25">
      <c r="A7" s="14"/>
      <c r="B7" s="36" t="s">
        <v>146</v>
      </c>
      <c r="C7" s="1" t="s">
        <v>235</v>
      </c>
      <c r="D7" s="13">
        <f>Table4[[#This Row],[FEET]]/5280</f>
        <v>1.06</v>
      </c>
      <c r="E7" s="5">
        <f>1.06*5280</f>
        <v>5596.8</v>
      </c>
      <c r="F7" s="27">
        <f>Table4[[#This Row],[FEET7]]/5280</f>
        <v>2.12</v>
      </c>
      <c r="G7" s="28">
        <v>8634</v>
      </c>
      <c r="H7" s="54">
        <f>Table4[[#This Row],[FEET7]]/5280</f>
        <v>2.12</v>
      </c>
      <c r="I7" s="55">
        <v>509</v>
      </c>
      <c r="J7" s="13">
        <f>Table4[[#This Row],[FEET7]]/5280</f>
        <v>2.12</v>
      </c>
      <c r="K7" s="5">
        <f>Table4[[#This Row],[FEET]]*2</f>
        <v>11193.6</v>
      </c>
      <c r="L7" s="64"/>
      <c r="M7" s="65"/>
    </row>
    <row r="8" spans="1:13" x14ac:dyDescent="0.25">
      <c r="A8" s="14" t="s">
        <v>253</v>
      </c>
      <c r="B8" s="36" t="s">
        <v>199</v>
      </c>
      <c r="C8" s="1" t="s">
        <v>236</v>
      </c>
      <c r="D8" s="13">
        <f>E8/5280</f>
        <v>3.0589393939393936</v>
      </c>
      <c r="E8" s="5">
        <v>16151.199999999999</v>
      </c>
      <c r="F8" s="27">
        <f t="shared" ref="F8:F14" si="0">G8/5280</f>
        <v>4.4489015151515154</v>
      </c>
      <c r="G8" s="28">
        <v>23490.2</v>
      </c>
      <c r="H8" s="54">
        <f>I8/5280</f>
        <v>0.24577651515151516</v>
      </c>
      <c r="I8" s="55">
        <v>1297.7</v>
      </c>
      <c r="J8" s="13">
        <f>K8/5280</f>
        <v>6.1998863636363639</v>
      </c>
      <c r="K8" s="5">
        <v>32735.4</v>
      </c>
      <c r="L8" s="64">
        <f>M8/5280</f>
        <v>0</v>
      </c>
      <c r="M8" s="65">
        <v>0</v>
      </c>
    </row>
    <row r="9" spans="1:13" x14ac:dyDescent="0.25">
      <c r="A9" s="14"/>
      <c r="B9" s="36" t="s">
        <v>201</v>
      </c>
      <c r="C9" s="1" t="s">
        <v>222</v>
      </c>
      <c r="D9" s="13">
        <v>2.532</v>
      </c>
      <c r="E9" s="5">
        <v>13210.5</v>
      </c>
      <c r="F9" s="27">
        <f t="shared" si="0"/>
        <v>2.2496401515151514</v>
      </c>
      <c r="G9" s="28">
        <f>9678.1+2200</f>
        <v>11878.1</v>
      </c>
      <c r="H9" s="54">
        <f>I9/5280</f>
        <v>0.45928030303030304</v>
      </c>
      <c r="I9" s="55">
        <v>2425</v>
      </c>
      <c r="J9" s="13">
        <f>K9/5280</f>
        <v>5.1049621212121217</v>
      </c>
      <c r="K9" s="5">
        <v>26954.2</v>
      </c>
      <c r="L9" s="64">
        <f>M9/5280</f>
        <v>0</v>
      </c>
      <c r="M9" s="65"/>
    </row>
    <row r="10" spans="1:13" x14ac:dyDescent="0.25">
      <c r="A10" s="14"/>
      <c r="B10" s="1" t="s">
        <v>71</v>
      </c>
      <c r="C10" s="1" t="s">
        <v>249</v>
      </c>
      <c r="D10" s="13"/>
      <c r="E10" s="5"/>
      <c r="F10" s="27">
        <f t="shared" si="0"/>
        <v>0.2337121212121212</v>
      </c>
      <c r="G10" s="28">
        <v>1234</v>
      </c>
      <c r="H10" s="54">
        <f>I10/5280</f>
        <v>0.24829545454545454</v>
      </c>
      <c r="I10" s="55">
        <v>1311</v>
      </c>
      <c r="J10" s="13"/>
      <c r="K10" s="5"/>
      <c r="L10" s="64"/>
      <c r="M10" s="65"/>
    </row>
    <row r="11" spans="1:13" x14ac:dyDescent="0.25">
      <c r="A11" s="14"/>
      <c r="B11" s="1" t="s">
        <v>71</v>
      </c>
      <c r="C11" s="1" t="s">
        <v>254</v>
      </c>
      <c r="D11" s="13"/>
      <c r="E11" s="5"/>
      <c r="F11" s="27">
        <f t="shared" si="0"/>
        <v>1.8087121212121211</v>
      </c>
      <c r="G11" s="28">
        <f>4775*2</f>
        <v>9550</v>
      </c>
      <c r="H11" s="54"/>
      <c r="I11" s="55"/>
      <c r="J11" s="13"/>
      <c r="K11" s="5"/>
      <c r="L11" s="64"/>
      <c r="M11" s="65"/>
    </row>
    <row r="12" spans="1:13" x14ac:dyDescent="0.25">
      <c r="A12" s="14"/>
      <c r="B12" s="36" t="s">
        <v>191</v>
      </c>
      <c r="C12" s="1" t="s">
        <v>145</v>
      </c>
      <c r="D12" s="13">
        <f t="shared" ref="D12:D14" si="1">E12/5280</f>
        <v>1.8830113636363635</v>
      </c>
      <c r="E12" s="5">
        <v>9942.2999999999993</v>
      </c>
      <c r="F12" s="27">
        <f t="shared" si="0"/>
        <v>3.3650189393939391</v>
      </c>
      <c r="G12" s="28">
        <v>17767.3</v>
      </c>
      <c r="H12" s="54">
        <f>I12/5280</f>
        <v>0.10024621212121211</v>
      </c>
      <c r="I12" s="55">
        <v>529.29999999999995</v>
      </c>
      <c r="J12" s="13">
        <f>K12/5280</f>
        <v>0</v>
      </c>
      <c r="K12" s="5"/>
      <c r="L12" s="64">
        <f>M12/5280</f>
        <v>0</v>
      </c>
      <c r="M12" s="65"/>
    </row>
    <row r="13" spans="1:13" x14ac:dyDescent="0.25">
      <c r="A13" s="14"/>
      <c r="B13" s="36" t="s">
        <v>10</v>
      </c>
      <c r="C13" s="1" t="s">
        <v>9</v>
      </c>
      <c r="D13" s="13">
        <f t="shared" si="1"/>
        <v>0.67500000000000004</v>
      </c>
      <c r="E13" s="5">
        <v>3564</v>
      </c>
      <c r="F13" s="27">
        <f t="shared" si="0"/>
        <v>2.6886363636363635</v>
      </c>
      <c r="G13" s="28">
        <f>7128+7068</f>
        <v>14196</v>
      </c>
      <c r="H13" s="54">
        <f t="shared" ref="H13:H14" si="2">I13/5280</f>
        <v>0</v>
      </c>
      <c r="I13" s="55"/>
      <c r="J13" s="13">
        <f t="shared" ref="J13:J14" si="3">K13/5280</f>
        <v>0</v>
      </c>
      <c r="K13" s="5"/>
      <c r="L13" s="64">
        <f t="shared" ref="L13:L14" si="4">M13/5280</f>
        <v>4.3996212121212123E-2</v>
      </c>
      <c r="M13" s="65">
        <v>232.3</v>
      </c>
    </row>
    <row r="14" spans="1:13" x14ac:dyDescent="0.25">
      <c r="A14" s="14"/>
      <c r="B14" s="36" t="s">
        <v>14</v>
      </c>
      <c r="C14" s="1" t="s">
        <v>15</v>
      </c>
      <c r="D14" s="13">
        <f t="shared" si="1"/>
        <v>0.57198863636363639</v>
      </c>
      <c r="E14" s="5">
        <v>3020.1</v>
      </c>
      <c r="F14" s="27">
        <f t="shared" si="0"/>
        <v>0.43397727272727277</v>
      </c>
      <c r="G14" s="28">
        <v>2291.4</v>
      </c>
      <c r="H14" s="54">
        <f t="shared" si="2"/>
        <v>0.1115340909090909</v>
      </c>
      <c r="I14" s="55">
        <v>588.9</v>
      </c>
      <c r="J14" s="13">
        <f t="shared" si="3"/>
        <v>0.1115340909090909</v>
      </c>
      <c r="K14" s="5">
        <v>588.9</v>
      </c>
      <c r="L14" s="64">
        <f t="shared" si="4"/>
        <v>0</v>
      </c>
      <c r="M14" s="65"/>
    </row>
    <row r="15" spans="1:13" x14ac:dyDescent="0.25">
      <c r="A15" s="14"/>
      <c r="B15" s="36" t="s">
        <v>11</v>
      </c>
      <c r="C15" s="1" t="s">
        <v>12</v>
      </c>
      <c r="D15" s="13">
        <f t="shared" ref="D15:D20" si="5">E15/5280</f>
        <v>1.0219886363636363</v>
      </c>
      <c r="E15" s="5">
        <v>5396.1</v>
      </c>
      <c r="F15" s="27">
        <f t="shared" ref="F15:F21" si="6">G15/5280</f>
        <v>1.3589772727272726</v>
      </c>
      <c r="G15" s="28">
        <v>7175.4</v>
      </c>
      <c r="H15" s="54">
        <f>I15/5280</f>
        <v>0.11100378787878788</v>
      </c>
      <c r="I15" s="55">
        <v>586.1</v>
      </c>
      <c r="J15" s="13">
        <f>K15/5280</f>
        <v>2.0709848484848483</v>
      </c>
      <c r="K15" s="5">
        <v>10934.8</v>
      </c>
      <c r="L15" s="64">
        <f>M15/5280</f>
        <v>0</v>
      </c>
      <c r="M15" s="65"/>
    </row>
    <row r="16" spans="1:13" x14ac:dyDescent="0.25">
      <c r="A16" s="14"/>
      <c r="B16" s="36" t="s">
        <v>11</v>
      </c>
      <c r="C16" s="1" t="s">
        <v>13</v>
      </c>
      <c r="D16" s="13">
        <f t="shared" si="5"/>
        <v>0.155</v>
      </c>
      <c r="E16" s="5">
        <v>818.4</v>
      </c>
      <c r="F16" s="27">
        <f t="shared" si="6"/>
        <v>0.31</v>
      </c>
      <c r="G16" s="28">
        <v>1636.8</v>
      </c>
      <c r="H16" s="54">
        <f>I16/5280</f>
        <v>0</v>
      </c>
      <c r="I16" s="55">
        <v>0</v>
      </c>
      <c r="J16" s="13">
        <f>K16/5280</f>
        <v>0.31</v>
      </c>
      <c r="K16" s="5">
        <v>1636.8</v>
      </c>
      <c r="L16" s="64">
        <f>M16/5280</f>
        <v>0</v>
      </c>
      <c r="M16" s="65"/>
    </row>
    <row r="17" spans="1:13" x14ac:dyDescent="0.25">
      <c r="A17" s="14" t="s">
        <v>252</v>
      </c>
      <c r="B17" s="36" t="s">
        <v>16</v>
      </c>
      <c r="C17" s="1" t="s">
        <v>148</v>
      </c>
      <c r="D17" s="13">
        <f t="shared" si="5"/>
        <v>5.4910227272727266</v>
      </c>
      <c r="E17" s="5">
        <v>28992.6</v>
      </c>
      <c r="F17" s="27">
        <f t="shared" si="6"/>
        <v>10.145833333333334</v>
      </c>
      <c r="G17" s="28">
        <f>46992+6578</f>
        <v>53570</v>
      </c>
      <c r="H17" s="54">
        <f>I17/5280</f>
        <v>0.47731060606060605</v>
      </c>
      <c r="I17" s="55">
        <f>514.2+2006</f>
        <v>2520.1999999999998</v>
      </c>
      <c r="J17" s="13">
        <f>K17/5280</f>
        <v>8.3414962121212124</v>
      </c>
      <c r="K17" s="5">
        <f>27778.1+16265</f>
        <v>44043.1</v>
      </c>
      <c r="L17" s="64">
        <f>M17/5280</f>
        <v>0</v>
      </c>
      <c r="M17" s="65"/>
    </row>
    <row r="18" spans="1:13" x14ac:dyDescent="0.25">
      <c r="A18" s="14"/>
      <c r="B18" s="36" t="s">
        <v>103</v>
      </c>
      <c r="C18" s="1" t="s">
        <v>206</v>
      </c>
      <c r="D18" s="13">
        <f t="shared" si="5"/>
        <v>3.0117424242424242</v>
      </c>
      <c r="E18" s="5">
        <v>15902</v>
      </c>
      <c r="F18" s="27">
        <f t="shared" si="6"/>
        <v>3.0857954545454547</v>
      </c>
      <c r="G18" s="28">
        <v>16293</v>
      </c>
      <c r="H18" s="54"/>
      <c r="I18" s="55"/>
      <c r="J18" s="13"/>
      <c r="K18" s="5"/>
      <c r="L18" s="64"/>
      <c r="M18" s="65"/>
    </row>
    <row r="19" spans="1:13" x14ac:dyDescent="0.25">
      <c r="A19" s="14" t="s">
        <v>253</v>
      </c>
      <c r="B19" s="1" t="s">
        <v>198</v>
      </c>
      <c r="C19" s="1" t="s">
        <v>57</v>
      </c>
      <c r="D19" s="13">
        <f>E19/5280</f>
        <v>1.4478446969696972</v>
      </c>
      <c r="E19" s="5">
        <f>5264.3+2380.32</f>
        <v>7644.6200000000008</v>
      </c>
      <c r="F19" s="27">
        <f>G19/5280</f>
        <v>3.7980378787878788</v>
      </c>
      <c r="G19" s="28">
        <f>9293+10760.64</f>
        <v>20053.64</v>
      </c>
      <c r="H19" s="54">
        <f>I19/5280</f>
        <v>2.5730681818181815</v>
      </c>
      <c r="I19" s="55">
        <v>13585.8</v>
      </c>
      <c r="J19" s="13">
        <f>K19/5280</f>
        <v>4.0759999999999996</v>
      </c>
      <c r="K19" s="5">
        <f>10760.64*2</f>
        <v>21521.279999999999</v>
      </c>
      <c r="L19" s="64">
        <f>M19/5280</f>
        <v>0</v>
      </c>
      <c r="M19" s="65"/>
    </row>
    <row r="20" spans="1:13" x14ac:dyDescent="0.25">
      <c r="A20" s="14"/>
      <c r="B20" s="36" t="s">
        <v>200</v>
      </c>
      <c r="C20" s="1" t="s">
        <v>231</v>
      </c>
      <c r="D20" s="13">
        <f t="shared" si="5"/>
        <v>3.0500189393939396</v>
      </c>
      <c r="E20" s="5">
        <v>16104.1</v>
      </c>
      <c r="F20" s="27">
        <f t="shared" si="6"/>
        <v>2.3070265151515152</v>
      </c>
      <c r="G20" s="28">
        <v>12181.1</v>
      </c>
      <c r="H20" s="54">
        <f>I20/5280</f>
        <v>0.54901515151515157</v>
      </c>
      <c r="I20" s="55">
        <v>2898.8</v>
      </c>
      <c r="J20" s="13">
        <f>K20/5280</f>
        <v>6.3420643939393937</v>
      </c>
      <c r="K20" s="5">
        <v>33486.1</v>
      </c>
      <c r="L20" s="64">
        <f>M20/5280</f>
        <v>0</v>
      </c>
      <c r="M20" s="65"/>
    </row>
    <row r="21" spans="1:13" ht="15.75" thickBot="1" x14ac:dyDescent="0.3">
      <c r="A21" s="14"/>
      <c r="B21" s="1" t="s">
        <v>255</v>
      </c>
      <c r="C21" s="1" t="s">
        <v>256</v>
      </c>
      <c r="D21" s="13"/>
      <c r="E21" s="5"/>
      <c r="F21" s="27">
        <f t="shared" si="6"/>
        <v>0.21553030303030302</v>
      </c>
      <c r="G21" s="28">
        <f>569*2</f>
        <v>1138</v>
      </c>
      <c r="H21" s="54"/>
      <c r="I21" s="55"/>
      <c r="J21" s="13"/>
      <c r="K21" s="5"/>
      <c r="L21" s="64"/>
      <c r="M21" s="65"/>
    </row>
    <row r="22" spans="1:13" ht="15.75" thickBot="1" x14ac:dyDescent="0.3">
      <c r="A22" s="26" t="s">
        <v>5</v>
      </c>
      <c r="B22" s="26"/>
      <c r="C22" s="26"/>
      <c r="D22" s="34"/>
      <c r="E22" s="35"/>
      <c r="F22" s="45"/>
      <c r="G22" s="46"/>
      <c r="H22" s="52"/>
      <c r="I22" s="53"/>
      <c r="J22" s="34"/>
      <c r="K22" s="35"/>
      <c r="L22" s="62"/>
      <c r="M22" s="63"/>
    </row>
    <row r="23" spans="1:13" ht="17.25" customHeight="1" x14ac:dyDescent="0.25">
      <c r="A23" s="14" t="s">
        <v>250</v>
      </c>
      <c r="B23" s="1" t="s">
        <v>41</v>
      </c>
      <c r="C23" s="1" t="s">
        <v>149</v>
      </c>
      <c r="D23" s="13">
        <f t="shared" ref="D23:D29" si="7">E23/5280</f>
        <v>7.2329924242424237</v>
      </c>
      <c r="E23" s="5">
        <v>38190.199999999997</v>
      </c>
      <c r="F23" s="27">
        <f t="shared" ref="F23:F30" si="8">G23/5280</f>
        <v>9.6660037878787879</v>
      </c>
      <c r="G23" s="28">
        <v>51036.5</v>
      </c>
      <c r="H23" s="54">
        <f t="shared" ref="H23:H29" si="9">I23/5280</f>
        <v>0.85178030303030294</v>
      </c>
      <c r="I23" s="55">
        <v>4497.3999999999996</v>
      </c>
      <c r="J23" s="13">
        <f t="shared" ref="J23:J29" si="10">K23/5280</f>
        <v>0</v>
      </c>
      <c r="K23" s="5"/>
      <c r="L23" s="64">
        <f t="shared" ref="L23:L29" si="11">M23/5280</f>
        <v>0</v>
      </c>
      <c r="M23" s="65"/>
    </row>
    <row r="24" spans="1:13" ht="17.25" customHeight="1" x14ac:dyDescent="0.25">
      <c r="A24" s="14" t="s">
        <v>251</v>
      </c>
      <c r="B24" s="1" t="s">
        <v>44</v>
      </c>
      <c r="C24" s="1" t="s">
        <v>45</v>
      </c>
      <c r="D24" s="13">
        <f t="shared" si="7"/>
        <v>3.3210037878787881</v>
      </c>
      <c r="E24" s="5">
        <v>17534.900000000001</v>
      </c>
      <c r="F24" s="27">
        <f t="shared" si="8"/>
        <v>5.9440340909090912</v>
      </c>
      <c r="G24" s="28">
        <f>16584.5+5000+9800</f>
        <v>31384.5</v>
      </c>
      <c r="H24" s="54">
        <f t="shared" si="9"/>
        <v>0.50874999999999992</v>
      </c>
      <c r="I24" s="55">
        <v>2686.2</v>
      </c>
      <c r="J24" s="13">
        <f t="shared" si="10"/>
        <v>3.4547727272727276</v>
      </c>
      <c r="K24" s="5">
        <f>2000+16241.2</f>
        <v>18241.2</v>
      </c>
      <c r="L24" s="64">
        <f t="shared" si="11"/>
        <v>0</v>
      </c>
      <c r="M24" s="65"/>
    </row>
    <row r="25" spans="1:13" ht="17.25" customHeight="1" x14ac:dyDescent="0.25">
      <c r="B25" s="1" t="s">
        <v>42</v>
      </c>
      <c r="C25" s="1" t="s">
        <v>43</v>
      </c>
      <c r="D25" s="13">
        <f t="shared" si="7"/>
        <v>3.637992424242424</v>
      </c>
      <c r="E25" s="5">
        <v>19208.599999999999</v>
      </c>
      <c r="F25" s="47">
        <f t="shared" si="8"/>
        <v>3.0473484848484849</v>
      </c>
      <c r="G25" s="47">
        <f>13781+2309</f>
        <v>16090</v>
      </c>
      <c r="H25" s="54">
        <f t="shared" si="9"/>
        <v>0.70825757575757575</v>
      </c>
      <c r="I25" s="56">
        <v>3739.6</v>
      </c>
      <c r="J25" s="13">
        <f t="shared" si="10"/>
        <v>0</v>
      </c>
      <c r="K25" s="31"/>
      <c r="L25" s="64">
        <f t="shared" si="11"/>
        <v>0</v>
      </c>
      <c r="M25" s="65"/>
    </row>
    <row r="26" spans="1:13" ht="17.25" customHeight="1" x14ac:dyDescent="0.25">
      <c r="B26" s="1" t="s">
        <v>47</v>
      </c>
      <c r="C26" s="1" t="s">
        <v>228</v>
      </c>
      <c r="D26" s="13">
        <f t="shared" si="7"/>
        <v>3.9599621212121208</v>
      </c>
      <c r="E26" s="5">
        <v>20908.599999999999</v>
      </c>
      <c r="F26" s="47">
        <f t="shared" si="8"/>
        <v>3.2499621212121212</v>
      </c>
      <c r="G26" s="47">
        <v>17159.8</v>
      </c>
      <c r="H26" s="54">
        <f t="shared" si="9"/>
        <v>0.86399621212121203</v>
      </c>
      <c r="I26" s="56">
        <v>4561.8999999999996</v>
      </c>
      <c r="J26" s="13">
        <f t="shared" si="10"/>
        <v>0.10799242424242425</v>
      </c>
      <c r="K26" s="31">
        <v>570.20000000000005</v>
      </c>
      <c r="L26" s="64">
        <f t="shared" si="11"/>
        <v>0</v>
      </c>
      <c r="M26" s="65"/>
    </row>
    <row r="27" spans="1:13" ht="17.25" customHeight="1" x14ac:dyDescent="0.25">
      <c r="A27" s="14"/>
      <c r="B27" s="1" t="s">
        <v>48</v>
      </c>
      <c r="C27" s="1" t="s">
        <v>229</v>
      </c>
      <c r="D27" s="13">
        <f t="shared" si="7"/>
        <v>0.81299242424242435</v>
      </c>
      <c r="E27" s="5">
        <v>4292.6000000000004</v>
      </c>
      <c r="F27" s="27">
        <f t="shared" si="8"/>
        <v>0.49998106060606062</v>
      </c>
      <c r="G27" s="28">
        <v>2639.9</v>
      </c>
      <c r="H27" s="54">
        <f t="shared" si="9"/>
        <v>0.18100378787878788</v>
      </c>
      <c r="I27" s="55">
        <v>955.7</v>
      </c>
      <c r="J27" s="13">
        <f t="shared" si="10"/>
        <v>0</v>
      </c>
      <c r="K27" s="5"/>
      <c r="L27" s="64">
        <f t="shared" si="11"/>
        <v>0</v>
      </c>
      <c r="M27" s="65"/>
    </row>
    <row r="28" spans="1:13" ht="17.25" customHeight="1" x14ac:dyDescent="0.25">
      <c r="A28" s="14"/>
      <c r="B28" s="1" t="s">
        <v>37</v>
      </c>
      <c r="C28" s="1" t="s">
        <v>38</v>
      </c>
      <c r="D28" s="13">
        <f t="shared" si="7"/>
        <v>1.0179924242424243</v>
      </c>
      <c r="E28" s="5">
        <v>5375</v>
      </c>
      <c r="F28" s="27">
        <f t="shared" si="8"/>
        <v>0.21899621212121212</v>
      </c>
      <c r="G28" s="28">
        <v>1156.3</v>
      </c>
      <c r="H28" s="54">
        <f t="shared" si="9"/>
        <v>0.25450757575757577</v>
      </c>
      <c r="I28" s="55">
        <v>1343.8</v>
      </c>
      <c r="J28" s="13">
        <f t="shared" si="10"/>
        <v>0</v>
      </c>
      <c r="K28" s="5"/>
      <c r="L28" s="64">
        <f t="shared" si="11"/>
        <v>0</v>
      </c>
      <c r="M28" s="65"/>
    </row>
    <row r="29" spans="1:13" ht="17.25" customHeight="1" x14ac:dyDescent="0.25">
      <c r="A29" s="14"/>
      <c r="B29" s="1" t="s">
        <v>39</v>
      </c>
      <c r="C29" s="1" t="s">
        <v>40</v>
      </c>
      <c r="D29" s="13">
        <f t="shared" si="7"/>
        <v>1.5320075757575757</v>
      </c>
      <c r="E29" s="5">
        <v>8089</v>
      </c>
      <c r="F29" s="27">
        <f t="shared" si="8"/>
        <v>0.64250000000000007</v>
      </c>
      <c r="G29" s="28">
        <f>554.4+2838</f>
        <v>3392.4</v>
      </c>
      <c r="H29" s="54">
        <f t="shared" si="9"/>
        <v>0.38301136363636362</v>
      </c>
      <c r="I29" s="55">
        <v>2022.3</v>
      </c>
      <c r="J29" s="13">
        <f t="shared" si="10"/>
        <v>0</v>
      </c>
      <c r="K29" s="5"/>
      <c r="L29" s="64">
        <f t="shared" si="11"/>
        <v>0</v>
      </c>
      <c r="M29" s="65"/>
    </row>
    <row r="30" spans="1:13" ht="17.25" customHeight="1" thickBot="1" x14ac:dyDescent="0.3">
      <c r="A30" s="14"/>
      <c r="B30" s="1" t="s">
        <v>118</v>
      </c>
      <c r="C30" s="1" t="s">
        <v>203</v>
      </c>
      <c r="D30" s="13"/>
      <c r="E30" s="5"/>
      <c r="F30" s="27">
        <f t="shared" si="8"/>
        <v>0.50681818181818183</v>
      </c>
      <c r="G30" s="28">
        <f>1338*2</f>
        <v>2676</v>
      </c>
      <c r="H30" s="54"/>
      <c r="I30" s="55"/>
      <c r="J30" s="13"/>
      <c r="K30" s="5"/>
      <c r="L30" s="64"/>
      <c r="M30" s="65"/>
    </row>
    <row r="31" spans="1:13" ht="15.75" thickBot="1" x14ac:dyDescent="0.3">
      <c r="A31" s="26" t="s">
        <v>216</v>
      </c>
      <c r="B31" s="26"/>
      <c r="C31" s="26"/>
      <c r="D31" s="34"/>
      <c r="E31" s="35"/>
      <c r="F31" s="45"/>
      <c r="G31" s="46"/>
      <c r="H31" s="52"/>
      <c r="I31" s="53"/>
      <c r="J31" s="34"/>
      <c r="K31" s="35"/>
      <c r="L31" s="62"/>
      <c r="M31" s="63"/>
    </row>
    <row r="32" spans="1:13" x14ac:dyDescent="0.25">
      <c r="A32" s="14"/>
      <c r="B32" s="1" t="s">
        <v>193</v>
      </c>
      <c r="C32" s="1" t="s">
        <v>72</v>
      </c>
      <c r="D32" s="13">
        <f t="shared" ref="D32:D38" si="12">E32/5280</f>
        <v>0.59598484848484856</v>
      </c>
      <c r="E32" s="5">
        <v>3146.8</v>
      </c>
      <c r="F32" s="27">
        <f t="shared" ref="F32:F39" si="13">G32/5280</f>
        <v>2.0419886363636364</v>
      </c>
      <c r="G32" s="28">
        <v>10781.7</v>
      </c>
      <c r="H32" s="54">
        <f t="shared" ref="H32:H34" si="14">I32/5280</f>
        <v>0.3087689393939394</v>
      </c>
      <c r="I32" s="55">
        <v>1630.3</v>
      </c>
      <c r="J32" s="13"/>
      <c r="K32" s="5"/>
      <c r="L32" s="64"/>
      <c r="M32" s="65"/>
    </row>
    <row r="33" spans="1:18" x14ac:dyDescent="0.25">
      <c r="A33" s="14"/>
      <c r="B33" s="1" t="s">
        <v>193</v>
      </c>
      <c r="C33" s="1" t="s">
        <v>60</v>
      </c>
      <c r="D33" s="13">
        <f t="shared" si="12"/>
        <v>3.0239734848484847</v>
      </c>
      <c r="E33" s="5">
        <f>10654.9+5311.68</f>
        <v>15966.58</v>
      </c>
      <c r="F33" s="27">
        <f t="shared" si="13"/>
        <v>2.4879886363636365</v>
      </c>
      <c r="G33" s="28">
        <f>10781.7+2354.88</f>
        <v>13136.580000000002</v>
      </c>
      <c r="H33" s="54">
        <f t="shared" si="14"/>
        <v>0.54851893939393948</v>
      </c>
      <c r="I33" s="55">
        <f>1630.3+1265.88</f>
        <v>2896.1800000000003</v>
      </c>
      <c r="J33" s="13">
        <f>K33/5280</f>
        <v>1.897348484848485</v>
      </c>
      <c r="K33" s="5">
        <v>10018</v>
      </c>
      <c r="L33" s="64">
        <f>M33/5280</f>
        <v>0</v>
      </c>
      <c r="M33" s="65"/>
    </row>
    <row r="34" spans="1:18" ht="17.25" customHeight="1" x14ac:dyDescent="0.25">
      <c r="A34" s="14"/>
      <c r="B34" s="1" t="s">
        <v>257</v>
      </c>
      <c r="C34" s="1" t="s">
        <v>258</v>
      </c>
      <c r="D34" s="13"/>
      <c r="E34" s="5"/>
      <c r="F34" s="27">
        <f t="shared" si="13"/>
        <v>0.96136363636363631</v>
      </c>
      <c r="G34" s="28">
        <v>5076</v>
      </c>
      <c r="H34" s="54">
        <f t="shared" si="14"/>
        <v>0.19128787878787878</v>
      </c>
      <c r="I34" s="55">
        <v>1010</v>
      </c>
      <c r="J34" s="13"/>
      <c r="K34" s="5"/>
      <c r="L34" s="64"/>
      <c r="M34" s="65"/>
    </row>
    <row r="35" spans="1:18" x14ac:dyDescent="0.25">
      <c r="A35" s="14"/>
      <c r="B35" s="1" t="s">
        <v>194</v>
      </c>
      <c r="C35" s="1" t="s">
        <v>64</v>
      </c>
      <c r="D35" s="13">
        <f t="shared" si="12"/>
        <v>3.0789962121212122</v>
      </c>
      <c r="E35" s="5">
        <v>16257.1</v>
      </c>
      <c r="F35" s="27">
        <f t="shared" si="13"/>
        <v>4.662973484848485</v>
      </c>
      <c r="G35" s="28">
        <v>24620.5</v>
      </c>
      <c r="H35" s="54">
        <f>I35/5280</f>
        <v>0.20950757575757575</v>
      </c>
      <c r="I35" s="55">
        <v>1106.2</v>
      </c>
      <c r="J35" s="13">
        <f>K35/5280</f>
        <v>6.4460037878787881</v>
      </c>
      <c r="K35" s="5">
        <v>34034.9</v>
      </c>
      <c r="L35" s="64"/>
      <c r="M35" s="65"/>
    </row>
    <row r="36" spans="1:18" x14ac:dyDescent="0.25">
      <c r="A36" s="14"/>
      <c r="B36" s="1" t="s">
        <v>197</v>
      </c>
      <c r="C36" s="1" t="s">
        <v>58</v>
      </c>
      <c r="D36" s="13">
        <f t="shared" si="12"/>
        <v>1.8990340909090908</v>
      </c>
      <c r="E36" s="5">
        <f>3975.9+6051</f>
        <v>10026.9</v>
      </c>
      <c r="F36" s="27">
        <f t="shared" si="13"/>
        <v>1.454034090909091</v>
      </c>
      <c r="G36" s="28">
        <f>4620.1+3057.2</f>
        <v>7677.3</v>
      </c>
      <c r="H36" s="54">
        <f>I36/5280</f>
        <v>0.43446969696969695</v>
      </c>
      <c r="I36" s="55">
        <f>579.5+414.5+1300</f>
        <v>2294</v>
      </c>
      <c r="J36" s="13">
        <f>K36/5280</f>
        <v>4.0407196969696972</v>
      </c>
      <c r="K36" s="5">
        <v>21335</v>
      </c>
      <c r="L36" s="64">
        <f>M36/5280</f>
        <v>0</v>
      </c>
      <c r="M36" s="65"/>
    </row>
    <row r="37" spans="1:18" x14ac:dyDescent="0.25">
      <c r="A37" s="14"/>
      <c r="B37" s="1" t="s">
        <v>191</v>
      </c>
      <c r="C37" s="1" t="s">
        <v>225</v>
      </c>
      <c r="D37" s="13">
        <f t="shared" si="12"/>
        <v>1.361003787878788</v>
      </c>
      <c r="E37" s="5">
        <v>7186.1</v>
      </c>
      <c r="F37" s="27">
        <f t="shared" si="13"/>
        <v>1.6840151515151516</v>
      </c>
      <c r="G37" s="28">
        <v>8891.6</v>
      </c>
      <c r="H37" s="54">
        <f>I37/5280</f>
        <v>0.14551136363636363</v>
      </c>
      <c r="I37" s="55">
        <v>768.3</v>
      </c>
      <c r="J37" s="13"/>
      <c r="K37" s="5"/>
      <c r="L37" s="64"/>
      <c r="M37" s="65"/>
    </row>
    <row r="38" spans="1:18" x14ac:dyDescent="0.25">
      <c r="A38" s="14"/>
      <c r="B38" s="1" t="s">
        <v>191</v>
      </c>
      <c r="C38" s="1" t="s">
        <v>153</v>
      </c>
      <c r="D38" s="13">
        <f t="shared" si="12"/>
        <v>0.29498106060606061</v>
      </c>
      <c r="E38" s="5">
        <v>1557.5</v>
      </c>
      <c r="F38" s="27">
        <f t="shared" si="13"/>
        <v>0.17698863636363638</v>
      </c>
      <c r="G38" s="28">
        <v>934.5</v>
      </c>
      <c r="H38" s="54">
        <f>I38/5280</f>
        <v>7.3749999999999996E-2</v>
      </c>
      <c r="I38" s="55">
        <v>389.4</v>
      </c>
      <c r="J38" s="13">
        <f>K38/5280</f>
        <v>0</v>
      </c>
      <c r="K38" s="5"/>
      <c r="L38" s="64">
        <f>M38/5280</f>
        <v>0</v>
      </c>
      <c r="M38" s="65"/>
    </row>
    <row r="39" spans="1:18" x14ac:dyDescent="0.25">
      <c r="A39" s="14"/>
      <c r="B39" s="1" t="s">
        <v>191</v>
      </c>
      <c r="C39" s="1" t="s">
        <v>152</v>
      </c>
      <c r="D39" s="13"/>
      <c r="E39" s="5"/>
      <c r="F39" s="27">
        <f t="shared" si="13"/>
        <v>0.37598484848484848</v>
      </c>
      <c r="G39" s="28">
        <v>1985.2</v>
      </c>
      <c r="H39" s="54">
        <f t="shared" ref="H39" si="15">I39/5280</f>
        <v>0</v>
      </c>
      <c r="I39" s="55"/>
      <c r="J39" s="13">
        <f t="shared" ref="J39" si="16">K39/5280</f>
        <v>3.299242424242424E-2</v>
      </c>
      <c r="K39" s="5">
        <v>174.2</v>
      </c>
      <c r="L39" s="64">
        <f t="shared" ref="L39" si="17">M39/5280</f>
        <v>0</v>
      </c>
      <c r="M39" s="66"/>
    </row>
    <row r="40" spans="1:18" x14ac:dyDescent="0.25">
      <c r="A40" s="14"/>
      <c r="B40" s="1" t="s">
        <v>192</v>
      </c>
      <c r="C40" s="1" t="s">
        <v>259</v>
      </c>
      <c r="D40" s="13">
        <v>1.167</v>
      </c>
      <c r="E40" s="5">
        <f>D40*5280</f>
        <v>6161.76</v>
      </c>
      <c r="F40" s="27">
        <f>Table4[[#This Row],[FEET3]]/5280</f>
        <v>1.853030303030303</v>
      </c>
      <c r="G40" s="28">
        <v>9784</v>
      </c>
      <c r="H40" s="54">
        <v>0.19900000000000001</v>
      </c>
      <c r="I40" s="55">
        <f>H40*5280</f>
        <v>1050.72</v>
      </c>
      <c r="J40" s="13">
        <f>Table4[[#This Row],[FEET7]]/5280</f>
        <v>0.89</v>
      </c>
      <c r="K40" s="5">
        <v>4699.2</v>
      </c>
      <c r="L40" s="64"/>
      <c r="M40" s="65"/>
    </row>
    <row r="41" spans="1:18" x14ac:dyDescent="0.25">
      <c r="A41" s="14"/>
      <c r="B41" s="1" t="s">
        <v>190</v>
      </c>
      <c r="C41" s="1" t="s">
        <v>73</v>
      </c>
      <c r="D41" s="13">
        <f t="shared" ref="D41:D43" si="18">E41/5280</f>
        <v>2.7239962121212122</v>
      </c>
      <c r="E41" s="5">
        <v>14382.7</v>
      </c>
      <c r="F41" s="27">
        <f t="shared" ref="F41:F43" si="19">G41/5280</f>
        <v>2.8879924242424244</v>
      </c>
      <c r="G41" s="28">
        <v>15248.6</v>
      </c>
      <c r="H41" s="54">
        <f t="shared" ref="H41:H43" si="20">I41/5280</f>
        <v>0.45553030303030301</v>
      </c>
      <c r="I41" s="55">
        <v>2405.1999999999998</v>
      </c>
      <c r="J41" s="13">
        <f t="shared" ref="J41:J43" si="21">K41/5280</f>
        <v>4.6939772727272731</v>
      </c>
      <c r="K41" s="5">
        <v>24784.2</v>
      </c>
      <c r="L41" s="64"/>
      <c r="M41" s="65"/>
    </row>
    <row r="42" spans="1:18" x14ac:dyDescent="0.25">
      <c r="A42" s="14"/>
      <c r="B42" s="1" t="s">
        <v>195</v>
      </c>
      <c r="C42" s="1" t="s">
        <v>70</v>
      </c>
      <c r="D42" s="13">
        <f t="shared" si="18"/>
        <v>1.9989772727272728</v>
      </c>
      <c r="E42" s="5">
        <v>10554.6</v>
      </c>
      <c r="F42" s="27">
        <f t="shared" si="19"/>
        <v>3.7179545454545453</v>
      </c>
      <c r="G42" s="28">
        <v>19630.8</v>
      </c>
      <c r="H42" s="54">
        <f t="shared" si="20"/>
        <v>0</v>
      </c>
      <c r="I42" s="55"/>
      <c r="J42" s="13">
        <f t="shared" si="21"/>
        <v>4.2009469696969699</v>
      </c>
      <c r="K42" s="5">
        <v>22181</v>
      </c>
      <c r="L42" s="64"/>
      <c r="M42" s="65"/>
    </row>
    <row r="43" spans="1:18" x14ac:dyDescent="0.25">
      <c r="A43" s="14"/>
      <c r="B43" s="1" t="s">
        <v>196</v>
      </c>
      <c r="C43" s="1" t="s">
        <v>62</v>
      </c>
      <c r="D43" s="13">
        <f t="shared" si="18"/>
        <v>0.85</v>
      </c>
      <c r="E43" s="5">
        <v>4488</v>
      </c>
      <c r="F43" s="27">
        <f t="shared" si="19"/>
        <v>0.54698863636363637</v>
      </c>
      <c r="G43" s="28">
        <v>2888.1</v>
      </c>
      <c r="H43" s="54">
        <f t="shared" si="20"/>
        <v>0.18649621212121212</v>
      </c>
      <c r="I43" s="55">
        <v>984.7</v>
      </c>
      <c r="J43" s="13">
        <f t="shared" si="21"/>
        <v>0</v>
      </c>
      <c r="K43" s="5"/>
      <c r="L43" s="64">
        <f t="shared" ref="L43" si="22">M43/5280</f>
        <v>0</v>
      </c>
      <c r="M43" s="65"/>
    </row>
    <row r="44" spans="1:18" x14ac:dyDescent="0.25">
      <c r="A44" s="14"/>
      <c r="B44" s="1" t="s">
        <v>65</v>
      </c>
      <c r="C44" s="1" t="s">
        <v>66</v>
      </c>
      <c r="D44" s="13">
        <f>E44/5280</f>
        <v>0.24100378787878787</v>
      </c>
      <c r="E44" s="5">
        <v>1272.5</v>
      </c>
      <c r="F44" s="27">
        <f>G44/5280</f>
        <v>0.48200757575757575</v>
      </c>
      <c r="G44" s="28">
        <v>2545</v>
      </c>
      <c r="H44" s="54">
        <f>I44/5280</f>
        <v>0</v>
      </c>
      <c r="I44" s="55"/>
      <c r="J44" s="13">
        <f>K44/5280</f>
        <v>0.50801136363636368</v>
      </c>
      <c r="K44" s="5">
        <v>2682.3</v>
      </c>
      <c r="L44" s="64">
        <f>M44/5280</f>
        <v>0</v>
      </c>
      <c r="M44" s="65"/>
      <c r="R44" s="10"/>
    </row>
    <row r="45" spans="1:18" x14ac:dyDescent="0.25">
      <c r="A45" s="14"/>
      <c r="B45" s="1" t="s">
        <v>135</v>
      </c>
      <c r="C45" s="1" t="s">
        <v>189</v>
      </c>
      <c r="D45" s="13">
        <v>1.4290265151515151</v>
      </c>
      <c r="E45" s="5">
        <v>7545.26</v>
      </c>
      <c r="F45" s="27">
        <v>0.96604545454545454</v>
      </c>
      <c r="G45" s="28">
        <v>11151.6</v>
      </c>
      <c r="H45" s="54">
        <v>0.31928030303030303</v>
      </c>
      <c r="I45" s="55">
        <v>1685.8</v>
      </c>
      <c r="J45" s="13"/>
      <c r="K45" s="5"/>
      <c r="L45" s="64"/>
      <c r="M45" s="65"/>
    </row>
    <row r="46" spans="1:18" x14ac:dyDescent="0.25">
      <c r="A46" s="14"/>
      <c r="B46" s="1" t="s">
        <v>67</v>
      </c>
      <c r="C46" s="1" t="s">
        <v>68</v>
      </c>
      <c r="D46" s="13">
        <f>E46/5280</f>
        <v>0.98399621212121213</v>
      </c>
      <c r="E46" s="5">
        <v>5195.5</v>
      </c>
      <c r="F46" s="27">
        <f>G46/5280</f>
        <v>0.14200757575757575</v>
      </c>
      <c r="G46" s="28">
        <v>749.8</v>
      </c>
      <c r="H46" s="54">
        <f>I46/5280</f>
        <v>0.23202651515151512</v>
      </c>
      <c r="I46" s="55">
        <v>1225.0999999999999</v>
      </c>
      <c r="J46" s="13">
        <f>K46/5280</f>
        <v>8.2007575757575751E-2</v>
      </c>
      <c r="K46" s="5">
        <v>433</v>
      </c>
      <c r="L46" s="64">
        <f>M46/5280</f>
        <v>0</v>
      </c>
      <c r="M46" s="65"/>
    </row>
    <row r="47" spans="1:18" x14ac:dyDescent="0.25">
      <c r="A47" s="14"/>
      <c r="B47" s="1" t="s">
        <v>69</v>
      </c>
      <c r="C47" s="1" t="s">
        <v>82</v>
      </c>
      <c r="D47" s="13">
        <f>E47/5280</f>
        <v>0.18600378787878788</v>
      </c>
      <c r="E47" s="5">
        <v>982.1</v>
      </c>
      <c r="F47" s="27">
        <f>G47/5280</f>
        <v>0.33200757575757578</v>
      </c>
      <c r="G47" s="28">
        <v>1753</v>
      </c>
      <c r="H47" s="54">
        <f>I47/5280</f>
        <v>0</v>
      </c>
      <c r="I47" s="55"/>
      <c r="J47" s="13">
        <f>K47/5280</f>
        <v>0.39200757575757578</v>
      </c>
      <c r="K47" s="5">
        <v>2069.8000000000002</v>
      </c>
      <c r="L47" s="64">
        <f>M47/5280</f>
        <v>0</v>
      </c>
      <c r="M47" s="65"/>
    </row>
    <row r="48" spans="1:18" x14ac:dyDescent="0.25">
      <c r="A48" s="14"/>
      <c r="B48" s="1" t="s">
        <v>17</v>
      </c>
      <c r="C48" s="1" t="s">
        <v>260</v>
      </c>
      <c r="D48" s="13">
        <f>E48/5280</f>
        <v>2.6829924242424243</v>
      </c>
      <c r="E48" s="5">
        <v>14166.2</v>
      </c>
      <c r="F48" s="27">
        <f>G48/5280</f>
        <v>2.5359848484848486</v>
      </c>
      <c r="G48" s="28">
        <v>13390</v>
      </c>
      <c r="H48" s="54">
        <f>I48/5280</f>
        <v>0</v>
      </c>
      <c r="I48" s="55"/>
      <c r="J48" s="13">
        <f>K48/5280</f>
        <v>2.5739772727272729</v>
      </c>
      <c r="K48" s="5">
        <v>13590.6</v>
      </c>
      <c r="L48" s="64">
        <f>M48/5280</f>
        <v>0</v>
      </c>
      <c r="M48" s="65"/>
    </row>
    <row r="49" spans="1:13" ht="15.75" thickBot="1" x14ac:dyDescent="0.3">
      <c r="A49" s="14"/>
      <c r="B49" s="1" t="s">
        <v>17</v>
      </c>
      <c r="C49" s="1" t="s">
        <v>76</v>
      </c>
      <c r="D49" s="13">
        <f>E49/5280</f>
        <v>1.2679924242424243</v>
      </c>
      <c r="E49" s="5">
        <v>6695</v>
      </c>
      <c r="F49" s="27">
        <f>G49/5280</f>
        <v>2.5359848484848486</v>
      </c>
      <c r="G49" s="28">
        <v>13390</v>
      </c>
      <c r="H49" s="54">
        <f>I49/5280</f>
        <v>0.39393939393939392</v>
      </c>
      <c r="I49" s="55">
        <v>2080</v>
      </c>
      <c r="J49" s="13">
        <f>K49/5280</f>
        <v>5.0360984848484849</v>
      </c>
      <c r="K49" s="5">
        <f>13590.6+13000</f>
        <v>26590.6</v>
      </c>
      <c r="L49" s="64">
        <f>M49/5280</f>
        <v>0</v>
      </c>
      <c r="M49" s="65"/>
    </row>
    <row r="50" spans="1:13" ht="15.75" thickBot="1" x14ac:dyDescent="0.3">
      <c r="A50" s="26" t="s">
        <v>85</v>
      </c>
      <c r="B50" s="26"/>
      <c r="C50" s="26"/>
      <c r="D50" s="34"/>
      <c r="E50" s="35"/>
      <c r="F50" s="45"/>
      <c r="G50" s="46"/>
      <c r="H50" s="52"/>
      <c r="I50" s="53"/>
      <c r="J50" s="34"/>
      <c r="K50" s="35"/>
      <c r="L50" s="62"/>
      <c r="M50" s="63"/>
    </row>
    <row r="51" spans="1:13" x14ac:dyDescent="0.25">
      <c r="A51" s="14"/>
      <c r="B51" s="37" t="s">
        <v>88</v>
      </c>
      <c r="C51" s="37" t="s">
        <v>89</v>
      </c>
      <c r="D51" s="38">
        <f t="shared" ref="D51:D56" si="23">E51/5280</f>
        <v>0.49698863636363633</v>
      </c>
      <c r="E51" s="39">
        <v>2624.1</v>
      </c>
      <c r="F51" s="48">
        <f t="shared" ref="F51:F56" si="24">G51/5280</f>
        <v>0.38598484848484849</v>
      </c>
      <c r="G51" s="49">
        <v>2038</v>
      </c>
      <c r="H51" s="57">
        <f t="shared" ref="H51:H56" si="25">I51/5280</f>
        <v>0.10170454545454545</v>
      </c>
      <c r="I51" s="58">
        <v>537</v>
      </c>
      <c r="J51" s="38">
        <f t="shared" ref="J51:J56" si="26">K51/5280</f>
        <v>0</v>
      </c>
      <c r="K51" s="39"/>
      <c r="L51" s="67">
        <f t="shared" ref="L51:L56" si="27">M51/5280</f>
        <v>0</v>
      </c>
      <c r="M51" s="68"/>
    </row>
    <row r="52" spans="1:13" x14ac:dyDescent="0.25">
      <c r="A52" s="14"/>
      <c r="B52" s="1" t="s">
        <v>86</v>
      </c>
      <c r="C52" s="1" t="s">
        <v>87</v>
      </c>
      <c r="D52" s="13">
        <f t="shared" si="23"/>
        <v>3.6949999999999998</v>
      </c>
      <c r="E52" s="5">
        <v>19509.599999999999</v>
      </c>
      <c r="F52" s="27">
        <f t="shared" si="24"/>
        <v>3.7009999999999996</v>
      </c>
      <c r="G52" s="28">
        <v>19541.28</v>
      </c>
      <c r="H52" s="54">
        <f t="shared" si="25"/>
        <v>0.60225000000000006</v>
      </c>
      <c r="I52" s="55">
        <v>3179.88</v>
      </c>
      <c r="J52" s="13">
        <f t="shared" si="26"/>
        <v>19.859848484848484</v>
      </c>
      <c r="K52" s="5">
        <v>104860</v>
      </c>
      <c r="L52" s="64">
        <f t="shared" si="27"/>
        <v>0</v>
      </c>
      <c r="M52" s="65"/>
    </row>
    <row r="53" spans="1:13" ht="17.25" customHeight="1" x14ac:dyDescent="0.25">
      <c r="A53" s="14" t="s">
        <v>278</v>
      </c>
      <c r="B53" s="1" t="s">
        <v>90</v>
      </c>
      <c r="C53" s="1" t="s">
        <v>176</v>
      </c>
      <c r="D53" s="13">
        <f t="shared" si="23"/>
        <v>4.4249999999999998</v>
      </c>
      <c r="E53" s="5">
        <v>23364</v>
      </c>
      <c r="F53" s="27">
        <f t="shared" si="24"/>
        <v>7.5041818181818183</v>
      </c>
      <c r="G53" s="28">
        <f>36622.08+3000</f>
        <v>39622.080000000002</v>
      </c>
      <c r="H53" s="54">
        <f t="shared" si="25"/>
        <v>0.20624999999999999</v>
      </c>
      <c r="I53" s="55">
        <v>1089</v>
      </c>
      <c r="J53" s="13">
        <f t="shared" si="26"/>
        <v>0</v>
      </c>
      <c r="K53" s="5"/>
      <c r="L53" s="64">
        <f t="shared" si="27"/>
        <v>0</v>
      </c>
      <c r="M53" s="65"/>
    </row>
    <row r="54" spans="1:13" x14ac:dyDescent="0.25">
      <c r="A54" s="14"/>
      <c r="B54" s="1" t="s">
        <v>91</v>
      </c>
      <c r="C54" s="1" t="s">
        <v>92</v>
      </c>
      <c r="D54" s="13">
        <f t="shared" si="23"/>
        <v>2.2197916666666662</v>
      </c>
      <c r="E54" s="5">
        <f>22301.62-10581.12</f>
        <v>11720.499999999998</v>
      </c>
      <c r="F54" s="27">
        <f t="shared" si="24"/>
        <v>3.7389621212121207</v>
      </c>
      <c r="G54" s="28">
        <f>26172.76-6431.04</f>
        <v>19741.719999999998</v>
      </c>
      <c r="H54" s="54">
        <f t="shared" si="25"/>
        <v>0.14651515151515149</v>
      </c>
      <c r="I54" s="55">
        <f>3149.6-2376</f>
        <v>773.59999999999991</v>
      </c>
      <c r="J54" s="13">
        <f t="shared" si="26"/>
        <v>0</v>
      </c>
      <c r="K54" s="5"/>
      <c r="L54" s="64">
        <f t="shared" si="27"/>
        <v>0</v>
      </c>
      <c r="M54" s="65"/>
    </row>
    <row r="55" spans="1:13" x14ac:dyDescent="0.25">
      <c r="A55" s="14"/>
      <c r="B55" s="1" t="s">
        <v>108</v>
      </c>
      <c r="C55" s="1" t="s">
        <v>177</v>
      </c>
      <c r="D55" s="13">
        <f t="shared" si="23"/>
        <v>1.9819886363636363</v>
      </c>
      <c r="E55" s="5">
        <v>10464.9</v>
      </c>
      <c r="F55" s="27">
        <f t="shared" si="24"/>
        <v>0.65500000000000003</v>
      </c>
      <c r="G55" s="28">
        <v>3458.4</v>
      </c>
      <c r="H55" s="54">
        <f t="shared" si="25"/>
        <v>0.49551136363636367</v>
      </c>
      <c r="I55" s="55">
        <v>2616.3000000000002</v>
      </c>
      <c r="J55" s="13">
        <f t="shared" si="26"/>
        <v>0</v>
      </c>
      <c r="K55" s="5"/>
      <c r="L55" s="64">
        <f t="shared" si="27"/>
        <v>0</v>
      </c>
      <c r="M55" s="65"/>
    </row>
    <row r="56" spans="1:13" ht="15.75" thickBot="1" x14ac:dyDescent="0.3">
      <c r="A56" s="14" t="s">
        <v>294</v>
      </c>
      <c r="B56" s="1" t="s">
        <v>93</v>
      </c>
      <c r="C56" s="1" t="s">
        <v>94</v>
      </c>
      <c r="D56" s="13">
        <f t="shared" si="23"/>
        <v>5.2469886363636364</v>
      </c>
      <c r="E56" s="5">
        <f>18479.9+2597.8+6626.4</f>
        <v>27704.1</v>
      </c>
      <c r="F56" s="27">
        <f t="shared" si="24"/>
        <v>4.3236856060606055</v>
      </c>
      <c r="G56" s="28">
        <f>15338.5+5195.6+1400+894.96</f>
        <v>22829.059999999998</v>
      </c>
      <c r="H56" s="54">
        <f t="shared" si="25"/>
        <v>3.2476704545454549</v>
      </c>
      <c r="I56" s="55">
        <f>3373.9+521+13252.8</f>
        <v>17147.7</v>
      </c>
      <c r="J56" s="13">
        <f t="shared" si="26"/>
        <v>0</v>
      </c>
      <c r="K56" s="5"/>
      <c r="L56" s="64">
        <f t="shared" si="27"/>
        <v>0</v>
      </c>
      <c r="M56" s="65"/>
    </row>
    <row r="57" spans="1:13" ht="15.75" thickBot="1" x14ac:dyDescent="0.3">
      <c r="A57" s="26" t="s">
        <v>95</v>
      </c>
      <c r="B57" s="26"/>
      <c r="C57" s="26"/>
      <c r="D57" s="34"/>
      <c r="E57" s="35"/>
      <c r="F57" s="45"/>
      <c r="G57" s="46"/>
      <c r="H57" s="52"/>
      <c r="I57" s="53"/>
      <c r="J57" s="34"/>
      <c r="K57" s="35"/>
      <c r="L57" s="62"/>
      <c r="M57" s="63"/>
    </row>
    <row r="58" spans="1:13" x14ac:dyDescent="0.25">
      <c r="A58" s="14"/>
      <c r="B58" s="36" t="s">
        <v>29</v>
      </c>
      <c r="C58" s="1" t="s">
        <v>30</v>
      </c>
      <c r="D58" s="13">
        <f>E58/5280</f>
        <v>1.0990151515151516</v>
      </c>
      <c r="E58" s="5">
        <v>5802.8</v>
      </c>
      <c r="F58" s="27">
        <f t="shared" ref="F58:F71" si="28">G58/5280</f>
        <v>1.2510227272727272</v>
      </c>
      <c r="G58" s="28">
        <v>6605.4</v>
      </c>
      <c r="H58" s="54">
        <f t="shared" ref="H58:H71" si="29">I58/5280</f>
        <v>0.14926136363636364</v>
      </c>
      <c r="I58" s="55">
        <v>788.1</v>
      </c>
      <c r="J58" s="13">
        <f>K58/5280</f>
        <v>0</v>
      </c>
      <c r="K58" s="5"/>
      <c r="L58" s="64">
        <f>M58/5280</f>
        <v>0.18200757575757576</v>
      </c>
      <c r="M58" s="65">
        <v>961</v>
      </c>
    </row>
    <row r="59" spans="1:13" x14ac:dyDescent="0.25">
      <c r="A59" s="14" t="s">
        <v>290</v>
      </c>
      <c r="B59" s="1" t="s">
        <v>7</v>
      </c>
      <c r="C59" s="1" t="s">
        <v>239</v>
      </c>
      <c r="D59" s="13">
        <f>E59/5280</f>
        <v>1.3045454545454545</v>
      </c>
      <c r="E59" s="5">
        <v>6888</v>
      </c>
      <c r="F59" s="27">
        <f t="shared" si="28"/>
        <v>3.3027424242424241</v>
      </c>
      <c r="G59" s="28">
        <f>12438.48+5000</f>
        <v>17438.48</v>
      </c>
      <c r="H59" s="54">
        <f t="shared" si="29"/>
        <v>0.55102272727272728</v>
      </c>
      <c r="I59" s="55">
        <f>1709.4+1200</f>
        <v>2909.4</v>
      </c>
      <c r="J59" s="13">
        <f>K59/5280</f>
        <v>3.4626155303030304</v>
      </c>
      <c r="K59" s="5">
        <f>17382.61+900</f>
        <v>18282.61</v>
      </c>
      <c r="L59" s="64"/>
      <c r="M59" s="65"/>
    </row>
    <row r="60" spans="1:13" ht="17.25" customHeight="1" x14ac:dyDescent="0.25">
      <c r="A60" s="14" t="s">
        <v>288</v>
      </c>
      <c r="B60" s="1" t="s">
        <v>103</v>
      </c>
      <c r="C60" s="1" t="s">
        <v>245</v>
      </c>
      <c r="D60" s="13"/>
      <c r="E60" s="5"/>
      <c r="F60" s="27">
        <f t="shared" si="28"/>
        <v>2.1604166666666669</v>
      </c>
      <c r="G60" s="28">
        <v>11407</v>
      </c>
      <c r="H60" s="54">
        <f t="shared" si="29"/>
        <v>9.166666666666666E-2</v>
      </c>
      <c r="I60" s="55">
        <v>484</v>
      </c>
      <c r="J60" s="13"/>
      <c r="K60" s="5"/>
      <c r="L60" s="64"/>
      <c r="M60" s="65"/>
    </row>
    <row r="61" spans="1:13" ht="17.25" customHeight="1" x14ac:dyDescent="0.25">
      <c r="A61" s="14" t="s">
        <v>289</v>
      </c>
      <c r="B61" s="1" t="s">
        <v>103</v>
      </c>
      <c r="C61" s="1" t="s">
        <v>246</v>
      </c>
      <c r="D61" s="13">
        <f t="shared" ref="D61:D71" si="30">E61/5280</f>
        <v>4.0066287878787881</v>
      </c>
      <c r="E61" s="5">
        <v>21155</v>
      </c>
      <c r="F61" s="27">
        <f t="shared" si="28"/>
        <v>1.9174242424242425</v>
      </c>
      <c r="G61" s="28">
        <v>10124</v>
      </c>
      <c r="H61" s="54">
        <f t="shared" si="29"/>
        <v>0.37518939393939393</v>
      </c>
      <c r="I61" s="55">
        <v>1981</v>
      </c>
      <c r="J61" s="13"/>
      <c r="K61" s="5"/>
      <c r="L61" s="64"/>
      <c r="M61" s="65"/>
    </row>
    <row r="62" spans="1:13" ht="17.25" customHeight="1" x14ac:dyDescent="0.25">
      <c r="A62" s="14"/>
      <c r="B62" s="1" t="s">
        <v>78</v>
      </c>
      <c r="C62" s="1" t="s">
        <v>220</v>
      </c>
      <c r="D62" s="13">
        <f t="shared" si="30"/>
        <v>0.99897727272727277</v>
      </c>
      <c r="E62" s="5">
        <v>5274.6</v>
      </c>
      <c r="F62" s="27">
        <f t="shared" si="28"/>
        <v>1.6099621212121213</v>
      </c>
      <c r="G62" s="28">
        <v>8500.6</v>
      </c>
      <c r="H62" s="54">
        <f t="shared" si="29"/>
        <v>0</v>
      </c>
      <c r="I62" s="55"/>
      <c r="J62" s="13">
        <f t="shared" ref="J62:J71" si="31">K62/5280</f>
        <v>1.9495265151515151</v>
      </c>
      <c r="K62" s="5">
        <f>6293.5+4000</f>
        <v>10293.5</v>
      </c>
      <c r="L62" s="64">
        <f t="shared" ref="L62:L71" si="32">M62/5280</f>
        <v>0.19200757575757574</v>
      </c>
      <c r="M62" s="65">
        <v>1013.8</v>
      </c>
    </row>
    <row r="63" spans="1:13" ht="17.25" customHeight="1" x14ac:dyDescent="0.25">
      <c r="A63" s="14"/>
      <c r="B63" s="1" t="s">
        <v>178</v>
      </c>
      <c r="C63" s="1" t="s">
        <v>179</v>
      </c>
      <c r="D63" s="13">
        <f t="shared" si="30"/>
        <v>0.1689962121212121</v>
      </c>
      <c r="E63" s="5">
        <v>892.3</v>
      </c>
      <c r="F63" s="27">
        <f t="shared" si="28"/>
        <v>0.33799242424242421</v>
      </c>
      <c r="G63" s="28">
        <v>1784.6</v>
      </c>
      <c r="H63" s="54">
        <f t="shared" si="29"/>
        <v>0</v>
      </c>
      <c r="I63" s="55"/>
      <c r="J63" s="13">
        <f t="shared" si="31"/>
        <v>0.45198863636363634</v>
      </c>
      <c r="K63" s="5">
        <v>2386.5</v>
      </c>
      <c r="L63" s="64">
        <f t="shared" si="32"/>
        <v>0</v>
      </c>
      <c r="M63" s="65"/>
    </row>
    <row r="64" spans="1:13" ht="17.25" customHeight="1" x14ac:dyDescent="0.25">
      <c r="A64" s="14"/>
      <c r="B64" s="36" t="s">
        <v>33</v>
      </c>
      <c r="C64" s="1" t="s">
        <v>34</v>
      </c>
      <c r="D64" s="13">
        <f t="shared" si="30"/>
        <v>0.58799242424242426</v>
      </c>
      <c r="E64" s="5">
        <v>3104.6</v>
      </c>
      <c r="F64" s="27">
        <f t="shared" si="28"/>
        <v>0.71899621212121212</v>
      </c>
      <c r="G64" s="28">
        <v>3796.3</v>
      </c>
      <c r="H64" s="54">
        <f t="shared" si="29"/>
        <v>8.3011363636363633E-2</v>
      </c>
      <c r="I64" s="55">
        <v>438.3</v>
      </c>
      <c r="J64" s="13">
        <f t="shared" si="31"/>
        <v>1.1759848484848485</v>
      </c>
      <c r="K64" s="5">
        <v>6209.2</v>
      </c>
      <c r="L64" s="64">
        <f t="shared" si="32"/>
        <v>0</v>
      </c>
      <c r="M64" s="65"/>
    </row>
    <row r="65" spans="1:13" ht="17.25" customHeight="1" x14ac:dyDescent="0.25">
      <c r="A65" s="14"/>
      <c r="B65" s="36" t="s">
        <v>32</v>
      </c>
      <c r="C65" s="1" t="s">
        <v>221</v>
      </c>
      <c r="D65" s="13">
        <f t="shared" si="30"/>
        <v>0.31301136363636367</v>
      </c>
      <c r="E65" s="5">
        <v>1652.7</v>
      </c>
      <c r="F65" s="27">
        <f t="shared" si="28"/>
        <v>0.30499999999999999</v>
      </c>
      <c r="G65" s="28">
        <v>1610.4</v>
      </c>
      <c r="H65" s="54">
        <f t="shared" si="29"/>
        <v>5.376893939393939E-2</v>
      </c>
      <c r="I65" s="55">
        <v>283.89999999999998</v>
      </c>
      <c r="J65" s="13">
        <f t="shared" si="31"/>
        <v>0.62602272727272734</v>
      </c>
      <c r="K65" s="5">
        <v>3305.4</v>
      </c>
      <c r="L65" s="64">
        <f t="shared" si="32"/>
        <v>0</v>
      </c>
      <c r="M65" s="65"/>
    </row>
    <row r="66" spans="1:13" x14ac:dyDescent="0.25">
      <c r="A66" s="14"/>
      <c r="B66" s="36" t="s">
        <v>6</v>
      </c>
      <c r="C66" s="1" t="s">
        <v>31</v>
      </c>
      <c r="D66" s="13">
        <f t="shared" si="30"/>
        <v>1.4180113636363636</v>
      </c>
      <c r="E66" s="5">
        <v>7487.1</v>
      </c>
      <c r="F66" s="27">
        <f t="shared" si="28"/>
        <v>2.362026515151515</v>
      </c>
      <c r="G66" s="28">
        <v>12471.5</v>
      </c>
      <c r="H66" s="54">
        <f t="shared" si="29"/>
        <v>7.1003787878787875E-2</v>
      </c>
      <c r="I66" s="55">
        <v>374.9</v>
      </c>
      <c r="J66" s="13">
        <f t="shared" si="31"/>
        <v>4.7992424242424246E-2</v>
      </c>
      <c r="K66" s="5">
        <v>253.4</v>
      </c>
      <c r="L66" s="64">
        <f t="shared" si="32"/>
        <v>0</v>
      </c>
      <c r="M66" s="65"/>
    </row>
    <row r="67" spans="1:13" x14ac:dyDescent="0.25">
      <c r="A67" s="14" t="s">
        <v>269</v>
      </c>
      <c r="B67" s="36" t="s">
        <v>24</v>
      </c>
      <c r="C67" s="1" t="s">
        <v>268</v>
      </c>
      <c r="D67" s="13">
        <f t="shared" si="30"/>
        <v>0.99864015151515151</v>
      </c>
      <c r="E67" s="5">
        <v>5272.82</v>
      </c>
      <c r="F67" s="27">
        <f t="shared" si="28"/>
        <v>4.8450075757575757</v>
      </c>
      <c r="G67" s="28">
        <f>5272.82*2+15036</f>
        <v>25581.64</v>
      </c>
      <c r="H67" s="54">
        <f t="shared" si="29"/>
        <v>0.17367424242424243</v>
      </c>
      <c r="I67" s="55">
        <v>917</v>
      </c>
      <c r="J67" s="13">
        <f t="shared" si="31"/>
        <v>2.0425094696969697</v>
      </c>
      <c r="K67" s="5">
        <v>10784.45</v>
      </c>
      <c r="L67" s="64">
        <f t="shared" si="32"/>
        <v>0</v>
      </c>
      <c r="M67" s="65"/>
    </row>
    <row r="68" spans="1:13" x14ac:dyDescent="0.25">
      <c r="A68" s="14"/>
      <c r="B68" s="36" t="s">
        <v>24</v>
      </c>
      <c r="C68" s="1" t="s">
        <v>28</v>
      </c>
      <c r="D68" s="13">
        <f t="shared" si="30"/>
        <v>1.4284545454545454</v>
      </c>
      <c r="E68" s="5">
        <f>8553.8-1011.56</f>
        <v>7542.24</v>
      </c>
      <c r="F68" s="27">
        <f t="shared" si="28"/>
        <v>2.7820492424242422</v>
      </c>
      <c r="G68" s="28">
        <f>16674.5-1985.28</f>
        <v>14689.22</v>
      </c>
      <c r="H68" s="54">
        <f t="shared" si="29"/>
        <v>4.015151515151515E-3</v>
      </c>
      <c r="I68" s="55">
        <v>21.2</v>
      </c>
      <c r="J68" s="13">
        <f t="shared" si="31"/>
        <v>3.2830681818181815</v>
      </c>
      <c r="K68" s="5">
        <v>17334.599999999999</v>
      </c>
      <c r="L68" s="64">
        <f t="shared" si="32"/>
        <v>0</v>
      </c>
      <c r="M68" s="65"/>
    </row>
    <row r="69" spans="1:13" x14ac:dyDescent="0.25">
      <c r="A69" s="14"/>
      <c r="B69" s="36" t="s">
        <v>24</v>
      </c>
      <c r="C69" s="1" t="s">
        <v>265</v>
      </c>
      <c r="D69" s="13">
        <f t="shared" si="30"/>
        <v>0.97602272727272721</v>
      </c>
      <c r="E69" s="5">
        <v>5153.3999999999996</v>
      </c>
      <c r="F69" s="27">
        <f t="shared" si="28"/>
        <v>0.96136363636363631</v>
      </c>
      <c r="G69" s="28">
        <f>2538*2</f>
        <v>5076</v>
      </c>
      <c r="H69" s="54">
        <f t="shared" si="29"/>
        <v>5.9507575757575752E-2</v>
      </c>
      <c r="I69" s="55">
        <v>314.2</v>
      </c>
      <c r="J69" s="13">
        <f t="shared" si="31"/>
        <v>0.88604166666666673</v>
      </c>
      <c r="K69" s="5">
        <v>4678.3</v>
      </c>
      <c r="L69" s="64">
        <f t="shared" si="32"/>
        <v>0</v>
      </c>
      <c r="M69" s="65"/>
    </row>
    <row r="70" spans="1:13" x14ac:dyDescent="0.25">
      <c r="A70" s="14"/>
      <c r="B70" s="1" t="s">
        <v>167</v>
      </c>
      <c r="C70" s="1" t="s">
        <v>168</v>
      </c>
      <c r="D70" s="13">
        <f t="shared" si="30"/>
        <v>1</v>
      </c>
      <c r="E70" s="5">
        <v>5280</v>
      </c>
      <c r="F70" s="27">
        <f t="shared" si="28"/>
        <v>0.46600000000000003</v>
      </c>
      <c r="G70" s="28">
        <v>2460.48</v>
      </c>
      <c r="H70" s="54">
        <f t="shared" si="29"/>
        <v>0.96499999999999997</v>
      </c>
      <c r="I70" s="55">
        <v>5095.2</v>
      </c>
      <c r="J70" s="13">
        <f t="shared" si="31"/>
        <v>0</v>
      </c>
      <c r="K70" s="5"/>
      <c r="L70" s="64">
        <f t="shared" si="32"/>
        <v>0</v>
      </c>
      <c r="M70" s="66"/>
    </row>
    <row r="71" spans="1:13" x14ac:dyDescent="0.25">
      <c r="A71" s="14"/>
      <c r="B71" s="36" t="s">
        <v>22</v>
      </c>
      <c r="C71" s="1" t="s">
        <v>23</v>
      </c>
      <c r="D71" s="13">
        <f t="shared" si="30"/>
        <v>0.48100378787878784</v>
      </c>
      <c r="E71" s="5">
        <v>2539.6999999999998</v>
      </c>
      <c r="F71" s="27">
        <f t="shared" si="28"/>
        <v>0.96200757575757567</v>
      </c>
      <c r="G71" s="28">
        <v>5079.3999999999996</v>
      </c>
      <c r="H71" s="54">
        <f t="shared" si="29"/>
        <v>0</v>
      </c>
      <c r="I71" s="55"/>
      <c r="J71" s="13">
        <f t="shared" si="31"/>
        <v>0.44500000000000001</v>
      </c>
      <c r="K71" s="5">
        <v>2349.6</v>
      </c>
      <c r="L71" s="64">
        <f t="shared" si="32"/>
        <v>0</v>
      </c>
      <c r="M71" s="65"/>
    </row>
    <row r="72" spans="1:13" x14ac:dyDescent="0.25">
      <c r="A72" s="14"/>
      <c r="B72" s="36" t="s">
        <v>261</v>
      </c>
      <c r="C72" s="1" t="s">
        <v>262</v>
      </c>
      <c r="D72" s="13"/>
      <c r="E72" s="5"/>
      <c r="F72" s="27">
        <f>Table4[[#This Row],[FEET3]]/5280</f>
        <v>0.23219696969696971</v>
      </c>
      <c r="G72" s="28">
        <f>613*2</f>
        <v>1226</v>
      </c>
      <c r="H72" s="54"/>
      <c r="I72" s="55"/>
      <c r="J72" s="13"/>
      <c r="K72" s="5"/>
      <c r="L72" s="64"/>
      <c r="M72" s="65"/>
    </row>
    <row r="73" spans="1:13" x14ac:dyDescent="0.25">
      <c r="A73" s="14"/>
      <c r="B73" s="1" t="s">
        <v>263</v>
      </c>
      <c r="C73" s="1" t="s">
        <v>264</v>
      </c>
      <c r="D73" s="13"/>
      <c r="E73" s="5"/>
      <c r="F73" s="27">
        <f>Table4[[#This Row],[FEET3]]/5280</f>
        <v>0.36401515151515151</v>
      </c>
      <c r="G73" s="28">
        <f>961*2</f>
        <v>1922</v>
      </c>
      <c r="H73" s="54"/>
      <c r="I73" s="55"/>
      <c r="J73" s="13"/>
      <c r="K73" s="5"/>
      <c r="L73" s="64"/>
      <c r="M73" s="65"/>
    </row>
    <row r="74" spans="1:13" x14ac:dyDescent="0.25">
      <c r="A74" s="14"/>
      <c r="B74" s="36" t="s">
        <v>11</v>
      </c>
      <c r="C74" s="1" t="s">
        <v>224</v>
      </c>
      <c r="D74" s="13">
        <f t="shared" ref="D74:D82" si="33">E74/5280</f>
        <v>2.0024621212121212</v>
      </c>
      <c r="E74" s="5">
        <v>10573</v>
      </c>
      <c r="F74" s="27">
        <f t="shared" ref="F74:F85" si="34">G74/5280</f>
        <v>3.8647727272727272</v>
      </c>
      <c r="G74" s="28">
        <f>17107+3299</f>
        <v>20406</v>
      </c>
      <c r="H74" s="54">
        <f t="shared" ref="H74:H85" si="35">I74/5280</f>
        <v>0</v>
      </c>
      <c r="I74" s="55"/>
      <c r="J74" s="13">
        <f t="shared" ref="J74:J84" si="36">K74/5280</f>
        <v>3.208939393939394</v>
      </c>
      <c r="K74" s="5">
        <v>16943.2</v>
      </c>
      <c r="L74" s="64">
        <f t="shared" ref="L74:L82" si="37">M74/5280</f>
        <v>0</v>
      </c>
      <c r="M74" s="65"/>
    </row>
    <row r="75" spans="1:13" x14ac:dyDescent="0.25">
      <c r="A75" s="14"/>
      <c r="B75" s="36" t="s">
        <v>26</v>
      </c>
      <c r="C75" s="1" t="s">
        <v>27</v>
      </c>
      <c r="D75" s="13">
        <f t="shared" si="33"/>
        <v>2.6070265151515151</v>
      </c>
      <c r="E75" s="5">
        <v>13765.1</v>
      </c>
      <c r="F75" s="27">
        <f t="shared" si="34"/>
        <v>4.1324621212121215</v>
      </c>
      <c r="G75" s="28">
        <f>17957.4+3862</f>
        <v>21819.4</v>
      </c>
      <c r="H75" s="54">
        <f t="shared" si="35"/>
        <v>0.29149621212121213</v>
      </c>
      <c r="I75" s="55">
        <v>1539.1</v>
      </c>
      <c r="J75" s="13">
        <f t="shared" si="36"/>
        <v>0</v>
      </c>
      <c r="K75" s="5"/>
      <c r="L75" s="64">
        <f t="shared" si="37"/>
        <v>0</v>
      </c>
      <c r="M75" s="65"/>
    </row>
    <row r="76" spans="1:13" x14ac:dyDescent="0.25">
      <c r="A76" s="14"/>
      <c r="B76" s="36" t="s">
        <v>25</v>
      </c>
      <c r="C76" s="1" t="s">
        <v>230</v>
      </c>
      <c r="D76" s="13">
        <f t="shared" si="33"/>
        <v>4.2970075757575756</v>
      </c>
      <c r="E76" s="5">
        <v>22688.2</v>
      </c>
      <c r="F76" s="27">
        <f t="shared" si="34"/>
        <v>5.3292424242424241</v>
      </c>
      <c r="G76" s="28">
        <v>28138.400000000001</v>
      </c>
      <c r="H76" s="54">
        <f t="shared" si="35"/>
        <v>0.48028409090909091</v>
      </c>
      <c r="I76" s="55">
        <v>2535.9</v>
      </c>
      <c r="J76" s="13">
        <f t="shared" si="36"/>
        <v>7.728409090909091</v>
      </c>
      <c r="K76" s="5">
        <f>2811+37995</f>
        <v>40806</v>
      </c>
      <c r="L76" s="64">
        <f t="shared" si="37"/>
        <v>0</v>
      </c>
      <c r="M76" s="65"/>
    </row>
    <row r="77" spans="1:13" x14ac:dyDescent="0.25">
      <c r="A77" s="14" t="s">
        <v>290</v>
      </c>
      <c r="B77" s="36" t="s">
        <v>35</v>
      </c>
      <c r="C77" s="1" t="s">
        <v>36</v>
      </c>
      <c r="D77" s="13">
        <f t="shared" si="33"/>
        <v>8.1570492424242431</v>
      </c>
      <c r="E77" s="5">
        <f>(44552.9+7101.6)-8585.28</f>
        <v>43069.22</v>
      </c>
      <c r="F77" s="27">
        <f t="shared" si="34"/>
        <v>14.873734848484849</v>
      </c>
      <c r="G77" s="28">
        <f>78533.32</f>
        <v>78533.320000000007</v>
      </c>
      <c r="H77" s="54">
        <f t="shared" si="35"/>
        <v>0.61677272727272725</v>
      </c>
      <c r="I77" s="55">
        <f>3256.56</f>
        <v>3256.56</v>
      </c>
      <c r="J77" s="13">
        <f t="shared" si="36"/>
        <v>12.75441287878788</v>
      </c>
      <c r="K77" s="5">
        <f>34758.3+32585</f>
        <v>67343.3</v>
      </c>
      <c r="L77" s="64">
        <f t="shared" si="37"/>
        <v>0</v>
      </c>
      <c r="M77" s="65"/>
    </row>
    <row r="78" spans="1:13" x14ac:dyDescent="0.25">
      <c r="A78" s="14"/>
      <c r="B78" s="1" t="s">
        <v>171</v>
      </c>
      <c r="C78" s="1" t="s">
        <v>185</v>
      </c>
      <c r="D78" s="13">
        <f t="shared" si="33"/>
        <v>0.35698863636363637</v>
      </c>
      <c r="E78" s="5">
        <v>1884.9</v>
      </c>
      <c r="F78" s="27">
        <f t="shared" si="34"/>
        <v>0.74695075757575757</v>
      </c>
      <c r="G78" s="28">
        <f>1884.9+2059</f>
        <v>3943.9</v>
      </c>
      <c r="H78" s="54">
        <f t="shared" si="35"/>
        <v>0</v>
      </c>
      <c r="I78" s="55"/>
      <c r="J78" s="13">
        <f t="shared" si="36"/>
        <v>1.1174810606060606</v>
      </c>
      <c r="K78" s="5">
        <f>3025.3+2875</f>
        <v>5900.3</v>
      </c>
      <c r="L78" s="64">
        <f t="shared" si="37"/>
        <v>0.20037878787878788</v>
      </c>
      <c r="M78" s="66">
        <v>1058</v>
      </c>
    </row>
    <row r="79" spans="1:13" x14ac:dyDescent="0.25">
      <c r="A79" s="14"/>
      <c r="B79" s="1" t="s">
        <v>172</v>
      </c>
      <c r="C79" s="1" t="s">
        <v>185</v>
      </c>
      <c r="D79" s="13">
        <f t="shared" si="33"/>
        <v>0.31301136363636367</v>
      </c>
      <c r="E79" s="5">
        <v>1652.7</v>
      </c>
      <c r="F79" s="27">
        <f t="shared" si="34"/>
        <v>0.70297348484848476</v>
      </c>
      <c r="G79" s="28">
        <f>1652.7+2059</f>
        <v>3711.7</v>
      </c>
      <c r="H79" s="54">
        <f t="shared" si="35"/>
        <v>0</v>
      </c>
      <c r="I79" s="55"/>
      <c r="J79" s="13">
        <f t="shared" si="36"/>
        <v>0.91452651515151506</v>
      </c>
      <c r="K79" s="5">
        <f>1953.7+2875</f>
        <v>4828.7</v>
      </c>
      <c r="L79" s="64">
        <f t="shared" si="37"/>
        <v>0.20037878787878788</v>
      </c>
      <c r="M79" s="66">
        <v>1058</v>
      </c>
    </row>
    <row r="80" spans="1:13" x14ac:dyDescent="0.25">
      <c r="A80" s="14"/>
      <c r="B80" s="1" t="s">
        <v>172</v>
      </c>
      <c r="C80" s="1" t="s">
        <v>28</v>
      </c>
      <c r="D80" s="13">
        <f t="shared" si="33"/>
        <v>3.9649810606060605</v>
      </c>
      <c r="E80" s="5">
        <f>18876.1+2059</f>
        <v>20935.099999999999</v>
      </c>
      <c r="F80" s="27">
        <f t="shared" si="34"/>
        <v>3.3000189393939392</v>
      </c>
      <c r="G80" s="28">
        <v>17424.099999999999</v>
      </c>
      <c r="H80" s="54">
        <f t="shared" si="35"/>
        <v>0</v>
      </c>
      <c r="I80" s="55"/>
      <c r="J80" s="13">
        <f t="shared" si="36"/>
        <v>3.5750189393939391</v>
      </c>
      <c r="K80" s="5">
        <v>18876.099999999999</v>
      </c>
      <c r="L80" s="64">
        <f t="shared" si="37"/>
        <v>0.89376893939393942</v>
      </c>
      <c r="M80" s="65">
        <v>4719.1000000000004</v>
      </c>
    </row>
    <row r="81" spans="1:74" x14ac:dyDescent="0.25">
      <c r="A81" s="14"/>
      <c r="B81" s="1" t="s">
        <v>171</v>
      </c>
      <c r="C81" s="1" t="s">
        <v>28</v>
      </c>
      <c r="D81" s="13">
        <f t="shared" si="33"/>
        <v>3.6129924242424241</v>
      </c>
      <c r="E81" s="5">
        <v>19076.599999999999</v>
      </c>
      <c r="F81" s="27">
        <f t="shared" si="34"/>
        <v>3.5050000000000003</v>
      </c>
      <c r="G81" s="28">
        <v>18506.400000000001</v>
      </c>
      <c r="H81" s="54">
        <f t="shared" si="35"/>
        <v>0</v>
      </c>
      <c r="I81" s="55"/>
      <c r="J81" s="13">
        <f t="shared" si="36"/>
        <v>3.7279924242424243</v>
      </c>
      <c r="K81" s="5">
        <f>607.2+19076.6</f>
        <v>19683.8</v>
      </c>
      <c r="L81" s="64">
        <f t="shared" si="37"/>
        <v>0.9032575757575757</v>
      </c>
      <c r="M81" s="65">
        <v>4769.2</v>
      </c>
    </row>
    <row r="82" spans="1:74" x14ac:dyDescent="0.25">
      <c r="A82" s="14"/>
      <c r="B82" s="36" t="s">
        <v>21</v>
      </c>
      <c r="C82" s="1" t="s">
        <v>247</v>
      </c>
      <c r="D82" s="13">
        <f t="shared" si="33"/>
        <v>0.71600378787878793</v>
      </c>
      <c r="E82" s="5">
        <v>3780.5</v>
      </c>
      <c r="F82" s="27">
        <f t="shared" si="34"/>
        <v>0.5829545454545455</v>
      </c>
      <c r="G82" s="28">
        <v>3078</v>
      </c>
      <c r="H82" s="54">
        <f t="shared" si="35"/>
        <v>0</v>
      </c>
      <c r="I82" s="55">
        <v>0</v>
      </c>
      <c r="J82" s="13">
        <f t="shared" si="36"/>
        <v>0.5829545454545455</v>
      </c>
      <c r="K82" s="5">
        <v>3078</v>
      </c>
      <c r="L82" s="64">
        <f t="shared" si="37"/>
        <v>0</v>
      </c>
      <c r="M82" s="65"/>
    </row>
    <row r="83" spans="1:74" x14ac:dyDescent="0.25">
      <c r="A83" s="14"/>
      <c r="B83" s="36" t="s">
        <v>7</v>
      </c>
      <c r="C83" s="1" t="s">
        <v>237</v>
      </c>
      <c r="D83" s="13">
        <f>Table4[[#This Row],[FEET]]/5280</f>
        <v>0.82064393939393943</v>
      </c>
      <c r="E83" s="5">
        <v>4333</v>
      </c>
      <c r="F83" s="27">
        <f t="shared" si="34"/>
        <v>1.0349999999999999</v>
      </c>
      <c r="G83" s="28">
        <f>2745.6+2719.2</f>
        <v>5464.7999999999993</v>
      </c>
      <c r="H83" s="54">
        <f t="shared" si="35"/>
        <v>9.3768939393939404E-2</v>
      </c>
      <c r="I83" s="55">
        <f>495.1</f>
        <v>495.1</v>
      </c>
      <c r="J83" s="13">
        <f t="shared" si="36"/>
        <v>0.92500000000000004</v>
      </c>
      <c r="K83" s="5">
        <v>4884</v>
      </c>
      <c r="L83" s="64"/>
      <c r="M83" s="65"/>
    </row>
    <row r="84" spans="1:74" x14ac:dyDescent="0.25">
      <c r="A84" s="14"/>
      <c r="B84" s="36" t="s">
        <v>7</v>
      </c>
      <c r="C84" s="1" t="s">
        <v>147</v>
      </c>
      <c r="D84" s="13">
        <f>E84/5280</f>
        <v>1.785965909090909</v>
      </c>
      <c r="E84" s="5">
        <v>9429.9</v>
      </c>
      <c r="F84" s="27">
        <f t="shared" si="34"/>
        <v>1.8259848484848487</v>
      </c>
      <c r="G84" s="28">
        <v>9641.2000000000007</v>
      </c>
      <c r="H84" s="54">
        <f t="shared" si="35"/>
        <v>0.21149621212121214</v>
      </c>
      <c r="I84" s="55">
        <v>1116.7</v>
      </c>
      <c r="J84" s="13">
        <f t="shared" si="36"/>
        <v>3.7389204545454544</v>
      </c>
      <c r="K84" s="5">
        <v>19741.5</v>
      </c>
      <c r="L84" s="64">
        <f t="shared" ref="L84" si="38">M84/5280</f>
        <v>0</v>
      </c>
      <c r="M84" s="65"/>
    </row>
    <row r="85" spans="1:74" ht="15.75" thickBot="1" x14ac:dyDescent="0.3">
      <c r="A85" s="14"/>
      <c r="B85" s="36" t="s">
        <v>19</v>
      </c>
      <c r="C85" s="1" t="s">
        <v>267</v>
      </c>
      <c r="D85" s="13">
        <f>E85/5280</f>
        <v>2.87</v>
      </c>
      <c r="E85" s="5">
        <v>15153.6</v>
      </c>
      <c r="F85" s="27">
        <f t="shared" si="34"/>
        <v>4.3515492424242428</v>
      </c>
      <c r="G85" s="28">
        <f>14933.18+8043</f>
        <v>22976.18</v>
      </c>
      <c r="H85" s="54">
        <f t="shared" si="35"/>
        <v>0.66032064393939394</v>
      </c>
      <c r="I85" s="55">
        <f>2413.493+1073</f>
        <v>3486.4929999999999</v>
      </c>
      <c r="J85" s="13">
        <f t="shared" ref="J85" si="39">K85/5280</f>
        <v>2.7048731060606062</v>
      </c>
      <c r="K85" s="5">
        <v>14281.73</v>
      </c>
      <c r="L85" s="64">
        <f t="shared" ref="L85" si="40">M85/5280</f>
        <v>0</v>
      </c>
      <c r="M85" s="65"/>
    </row>
    <row r="86" spans="1:74" ht="15.75" thickBot="1" x14ac:dyDescent="0.3">
      <c r="A86" s="26" t="s">
        <v>217</v>
      </c>
      <c r="B86" s="26"/>
      <c r="C86" s="26"/>
      <c r="D86" s="34"/>
      <c r="E86" s="35"/>
      <c r="F86" s="45"/>
      <c r="G86" s="46"/>
      <c r="H86" s="52"/>
      <c r="I86" s="53"/>
      <c r="J86" s="34"/>
      <c r="K86" s="35"/>
      <c r="L86" s="62"/>
      <c r="M86" s="63"/>
    </row>
    <row r="87" spans="1:74" x14ac:dyDescent="0.25">
      <c r="A87" s="14"/>
      <c r="B87" s="1" t="s">
        <v>104</v>
      </c>
      <c r="C87" s="1" t="s">
        <v>105</v>
      </c>
      <c r="D87" s="13">
        <f t="shared" ref="D87:D114" si="41">E87/5280</f>
        <v>2.2289962121212121</v>
      </c>
      <c r="E87" s="5">
        <v>11769.1</v>
      </c>
      <c r="F87" s="27">
        <f t="shared" ref="F87:F114" si="42">G87/5280</f>
        <v>12.265113636363637</v>
      </c>
      <c r="G87" s="28">
        <f>18759.8+46000</f>
        <v>64759.8</v>
      </c>
      <c r="H87" s="54">
        <f t="shared" ref="H87:H114" si="43">I87/5280</f>
        <v>0.28475378787878786</v>
      </c>
      <c r="I87" s="55">
        <v>1503.5</v>
      </c>
      <c r="J87" s="13">
        <f t="shared" ref="J87:J95" si="44">K87/5280</f>
        <v>10.567272727272726</v>
      </c>
      <c r="K87" s="5">
        <f>8490.2+32305+15000</f>
        <v>55795.199999999997</v>
      </c>
      <c r="L87" s="64">
        <f>M87/5280</f>
        <v>1.9304924242424242</v>
      </c>
      <c r="M87" s="65">
        <v>10193</v>
      </c>
    </row>
    <row r="88" spans="1:74" x14ac:dyDescent="0.25">
      <c r="A88" s="14"/>
      <c r="B88" s="1" t="s">
        <v>96</v>
      </c>
      <c r="C88" s="1" t="s">
        <v>270</v>
      </c>
      <c r="D88" s="13">
        <f t="shared" si="41"/>
        <v>1.500378787878788</v>
      </c>
      <c r="E88" s="5">
        <v>7922</v>
      </c>
      <c r="F88" s="27">
        <f t="shared" si="42"/>
        <v>2.7490530303030303</v>
      </c>
      <c r="G88" s="28">
        <f>9790+4725</f>
        <v>14515</v>
      </c>
      <c r="H88" s="54">
        <f t="shared" si="43"/>
        <v>0.33745265151515152</v>
      </c>
      <c r="I88" s="55">
        <f>1021.75+760</f>
        <v>1781.75</v>
      </c>
      <c r="J88" s="13">
        <f t="shared" si="44"/>
        <v>0.45193181818181816</v>
      </c>
      <c r="K88" s="5">
        <v>2386.1999999999998</v>
      </c>
      <c r="L88" s="64"/>
      <c r="M88" s="65"/>
    </row>
    <row r="89" spans="1:74" x14ac:dyDescent="0.25">
      <c r="A89" s="14" t="s">
        <v>266</v>
      </c>
      <c r="B89" s="1" t="s">
        <v>99</v>
      </c>
      <c r="C89" s="1" t="s">
        <v>241</v>
      </c>
      <c r="D89" s="13">
        <f t="shared" si="41"/>
        <v>1.7823863636363637</v>
      </c>
      <c r="E89" s="5">
        <v>9411</v>
      </c>
      <c r="F89" s="27">
        <f t="shared" si="42"/>
        <v>8.990564393939394</v>
      </c>
      <c r="G89" s="28">
        <v>47470.18</v>
      </c>
      <c r="H89" s="54">
        <f t="shared" si="43"/>
        <v>0.28586174242424239</v>
      </c>
      <c r="I89" s="55">
        <v>1509.35</v>
      </c>
      <c r="J89" s="13">
        <f t="shared" si="44"/>
        <v>2.5737310606060606</v>
      </c>
      <c r="K89" s="5">
        <f>5322.3+8267</f>
        <v>13589.3</v>
      </c>
      <c r="L89" s="64">
        <f>M89/5280</f>
        <v>0</v>
      </c>
      <c r="M89" s="66"/>
    </row>
    <row r="90" spans="1:74" x14ac:dyDescent="0.25">
      <c r="A90" s="14"/>
      <c r="B90" s="1" t="s">
        <v>112</v>
      </c>
      <c r="C90" s="1" t="s">
        <v>233</v>
      </c>
      <c r="D90" s="13">
        <f t="shared" si="41"/>
        <v>0.53100378787878788</v>
      </c>
      <c r="E90" s="5">
        <v>2803.7</v>
      </c>
      <c r="F90" s="27">
        <f t="shared" si="42"/>
        <v>0.53401515151515144</v>
      </c>
      <c r="G90" s="28">
        <v>2819.6</v>
      </c>
      <c r="H90" s="54">
        <f t="shared" si="43"/>
        <v>5.9753787878787878E-2</v>
      </c>
      <c r="I90" s="55">
        <v>315.5</v>
      </c>
      <c r="J90" s="13">
        <f t="shared" si="44"/>
        <v>1.0870075757575757</v>
      </c>
      <c r="K90" s="5">
        <v>5739.4</v>
      </c>
      <c r="L90" s="64">
        <f t="shared" ref="L90:L93" si="45">M90/5280</f>
        <v>0</v>
      </c>
      <c r="M90" s="65"/>
    </row>
    <row r="91" spans="1:74" s="29" customFormat="1" x14ac:dyDescent="0.25">
      <c r="A91" s="14" t="s">
        <v>293</v>
      </c>
      <c r="B91" s="1" t="s">
        <v>108</v>
      </c>
      <c r="C91" s="1" t="s">
        <v>109</v>
      </c>
      <c r="D91" s="13">
        <f t="shared" si="41"/>
        <v>8.6580113636363638</v>
      </c>
      <c r="E91" s="5">
        <v>45714.3</v>
      </c>
      <c r="F91" s="27">
        <f t="shared" si="42"/>
        <v>10.871969696969696</v>
      </c>
      <c r="G91" s="28">
        <v>57404</v>
      </c>
      <c r="H91" s="54">
        <f t="shared" si="43"/>
        <v>4.0294507575757574</v>
      </c>
      <c r="I91" s="55">
        <v>21275.5</v>
      </c>
      <c r="J91" s="13">
        <f t="shared" si="44"/>
        <v>7.0640340909090904</v>
      </c>
      <c r="K91" s="5">
        <v>37298.1</v>
      </c>
      <c r="L91" s="64">
        <f t="shared" si="45"/>
        <v>0</v>
      </c>
      <c r="M91" s="65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</row>
    <row r="92" spans="1:74" x14ac:dyDescent="0.25">
      <c r="A92" s="14" t="s">
        <v>293</v>
      </c>
      <c r="B92" s="1" t="s">
        <v>110</v>
      </c>
      <c r="C92" s="1" t="s">
        <v>162</v>
      </c>
      <c r="D92" s="13">
        <f t="shared" si="41"/>
        <v>7.9871212121212123</v>
      </c>
      <c r="E92" s="5">
        <v>42172</v>
      </c>
      <c r="F92" s="27">
        <f t="shared" si="42"/>
        <v>11.935477272727272</v>
      </c>
      <c r="G92" s="28">
        <v>63019.32</v>
      </c>
      <c r="H92" s="54">
        <f t="shared" si="43"/>
        <v>3.37855303030303</v>
      </c>
      <c r="I92" s="55">
        <v>17838.759999999998</v>
      </c>
      <c r="J92" s="13">
        <f t="shared" si="44"/>
        <v>1.63</v>
      </c>
      <c r="K92" s="5">
        <v>8606.4</v>
      </c>
      <c r="L92" s="64">
        <f t="shared" si="45"/>
        <v>0</v>
      </c>
      <c r="M92" s="65"/>
    </row>
    <row r="93" spans="1:74" ht="17.25" customHeight="1" x14ac:dyDescent="0.25">
      <c r="A93" s="14"/>
      <c r="B93" s="1" t="s">
        <v>48</v>
      </c>
      <c r="C93" s="1" t="s">
        <v>111</v>
      </c>
      <c r="D93" s="13">
        <f t="shared" si="41"/>
        <v>0.72098484848484856</v>
      </c>
      <c r="E93" s="5">
        <v>3806.8</v>
      </c>
      <c r="F93" s="27">
        <f t="shared" si="42"/>
        <v>1.9842803030303031</v>
      </c>
      <c r="G93" s="28">
        <f>7613+2864</f>
        <v>10477</v>
      </c>
      <c r="H93" s="54">
        <f t="shared" si="43"/>
        <v>0</v>
      </c>
      <c r="I93" s="55"/>
      <c r="J93" s="13">
        <f t="shared" si="44"/>
        <v>1.4419696969696971</v>
      </c>
      <c r="K93" s="5">
        <v>7613.6</v>
      </c>
      <c r="L93" s="64">
        <f t="shared" si="45"/>
        <v>0</v>
      </c>
      <c r="M93" s="65"/>
    </row>
    <row r="94" spans="1:74" x14ac:dyDescent="0.25">
      <c r="A94" s="14"/>
      <c r="B94" s="1" t="s">
        <v>180</v>
      </c>
      <c r="C94" s="1" t="s">
        <v>182</v>
      </c>
      <c r="D94" s="13">
        <f t="shared" si="41"/>
        <v>1.8276515151515151</v>
      </c>
      <c r="E94" s="5">
        <v>9650</v>
      </c>
      <c r="F94" s="27">
        <f t="shared" si="42"/>
        <v>2.4430113636363635</v>
      </c>
      <c r="G94" s="28">
        <v>12899.1</v>
      </c>
      <c r="H94" s="54">
        <f t="shared" si="43"/>
        <v>0.34950757575757579</v>
      </c>
      <c r="I94" s="55">
        <v>1845.4</v>
      </c>
      <c r="J94" s="13">
        <f t="shared" si="44"/>
        <v>1.6376893939393939</v>
      </c>
      <c r="K94" s="5">
        <v>8647</v>
      </c>
      <c r="L94" s="64"/>
      <c r="M94" s="65"/>
    </row>
    <row r="95" spans="1:74" ht="15.75" thickBot="1" x14ac:dyDescent="0.3">
      <c r="A95" s="14"/>
      <c r="B95" s="1" t="s">
        <v>180</v>
      </c>
      <c r="C95" s="1" t="s">
        <v>181</v>
      </c>
      <c r="D95" s="13">
        <f t="shared" si="41"/>
        <v>0.83202651515151527</v>
      </c>
      <c r="E95" s="5">
        <v>4393.1000000000004</v>
      </c>
      <c r="F95" s="27">
        <f t="shared" si="42"/>
        <v>0.20401515151515151</v>
      </c>
      <c r="G95" s="28">
        <v>1077.2</v>
      </c>
      <c r="H95" s="54">
        <f t="shared" si="43"/>
        <v>0.20801136363636363</v>
      </c>
      <c r="I95" s="55">
        <v>1098.3</v>
      </c>
      <c r="J95" s="13">
        <f t="shared" si="44"/>
        <v>1.6640530303030305</v>
      </c>
      <c r="K95" s="5">
        <v>8786.2000000000007</v>
      </c>
      <c r="L95" s="64">
        <f>M95/5280</f>
        <v>0</v>
      </c>
      <c r="M95" s="65"/>
    </row>
    <row r="96" spans="1:74" ht="15.75" thickBot="1" x14ac:dyDescent="0.3">
      <c r="A96" s="26" t="s">
        <v>113</v>
      </c>
      <c r="B96" s="26"/>
      <c r="C96" s="26"/>
      <c r="D96" s="34"/>
      <c r="E96" s="35"/>
      <c r="F96" s="45"/>
      <c r="G96" s="46"/>
      <c r="H96" s="52"/>
      <c r="I96" s="53"/>
      <c r="J96" s="34"/>
      <c r="K96" s="35"/>
      <c r="L96" s="62"/>
      <c r="M96" s="63"/>
    </row>
    <row r="97" spans="1:13" x14ac:dyDescent="0.25">
      <c r="A97" s="14"/>
      <c r="B97" s="1" t="s">
        <v>24</v>
      </c>
      <c r="C97" s="1" t="s">
        <v>271</v>
      </c>
      <c r="D97" s="13"/>
      <c r="E97" s="5"/>
      <c r="F97" s="27">
        <f>Table4[[#This Row],[FEET3]]/5280</f>
        <v>0.98484848484848486</v>
      </c>
      <c r="G97" s="28">
        <v>5200</v>
      </c>
      <c r="H97" s="54"/>
      <c r="I97" s="55"/>
      <c r="J97" s="13"/>
      <c r="K97" s="5"/>
      <c r="L97" s="64"/>
      <c r="M97" s="68"/>
    </row>
    <row r="98" spans="1:13" x14ac:dyDescent="0.25">
      <c r="A98" s="14"/>
      <c r="B98" s="1" t="s">
        <v>84</v>
      </c>
      <c r="C98" s="1" t="s">
        <v>272</v>
      </c>
      <c r="D98" s="13">
        <f>E98/5280</f>
        <v>2.6959999999999997</v>
      </c>
      <c r="E98" s="5">
        <v>14234.88</v>
      </c>
      <c r="F98" s="27">
        <f>G98/5280</f>
        <v>6.2057424242424242</v>
      </c>
      <c r="G98" s="28">
        <f>13960.32+3600+15206</f>
        <v>32766.32</v>
      </c>
      <c r="H98" s="54">
        <f>I98/5280</f>
        <v>0.50082575757575765</v>
      </c>
      <c r="I98" s="55">
        <f>2241.36+403</f>
        <v>2644.36</v>
      </c>
      <c r="J98" s="13">
        <f>K98/5280</f>
        <v>7.5999999999999998E-2</v>
      </c>
      <c r="K98" s="5">
        <v>401.28</v>
      </c>
      <c r="L98" s="64">
        <f>M98/5280</f>
        <v>0</v>
      </c>
      <c r="M98" s="65"/>
    </row>
    <row r="99" spans="1:13" x14ac:dyDescent="0.25">
      <c r="A99" s="14"/>
      <c r="B99" s="1" t="s">
        <v>106</v>
      </c>
      <c r="C99" s="1" t="s">
        <v>107</v>
      </c>
      <c r="D99" s="13">
        <f>E99/5280</f>
        <v>5.9739962121212127</v>
      </c>
      <c r="E99" s="5">
        <v>31542.7</v>
      </c>
      <c r="F99" s="27">
        <f>G99/5280</f>
        <v>5.7635227272727274</v>
      </c>
      <c r="G99" s="28">
        <f>27788.4+2643</f>
        <v>30431.4</v>
      </c>
      <c r="H99" s="54">
        <f>I99/5280</f>
        <v>1.1087878787878787</v>
      </c>
      <c r="I99" s="55">
        <v>5854.4</v>
      </c>
      <c r="J99" s="13">
        <f>K99/5280</f>
        <v>0.16801136363636365</v>
      </c>
      <c r="K99" s="5">
        <v>887.1</v>
      </c>
      <c r="L99" s="64">
        <f>M99/5280</f>
        <v>0</v>
      </c>
      <c r="M99" s="65"/>
    </row>
    <row r="100" spans="1:13" x14ac:dyDescent="0.25">
      <c r="A100" s="14"/>
      <c r="B100" s="1" t="s">
        <v>88</v>
      </c>
      <c r="C100" s="1" t="s">
        <v>161</v>
      </c>
      <c r="D100" s="13">
        <f>E100/5280</f>
        <v>4.4619886363636363</v>
      </c>
      <c r="E100" s="5">
        <v>23559.3</v>
      </c>
      <c r="F100" s="27">
        <f>G100/5280</f>
        <v>5.9119507575757577</v>
      </c>
      <c r="G100" s="28">
        <f>26215.1+5000</f>
        <v>31215.1</v>
      </c>
      <c r="H100" s="54">
        <f>I100/5280</f>
        <v>0.729280303030303</v>
      </c>
      <c r="I100" s="55">
        <v>3850.6</v>
      </c>
      <c r="J100" s="13">
        <f>K100/5280</f>
        <v>0</v>
      </c>
      <c r="K100" s="5"/>
      <c r="L100" s="64">
        <f>M100/5280</f>
        <v>0</v>
      </c>
      <c r="M100" s="65"/>
    </row>
    <row r="101" spans="1:13" ht="15.75" thickBot="1" x14ac:dyDescent="0.3">
      <c r="A101" s="14"/>
      <c r="B101" s="1" t="s">
        <v>17</v>
      </c>
      <c r="C101" s="1" t="s">
        <v>273</v>
      </c>
      <c r="D101" s="13"/>
      <c r="E101" s="5"/>
      <c r="F101" s="27">
        <f>Table4[[#This Row],[FEET3]]/5280</f>
        <v>0.76401515151515154</v>
      </c>
      <c r="G101" s="28">
        <v>4034</v>
      </c>
      <c r="H101" s="54">
        <f>Table4[[#This Row],[FEET5]]/5280</f>
        <v>0.20473484848484849</v>
      </c>
      <c r="I101" s="55">
        <v>1081</v>
      </c>
      <c r="J101" s="13"/>
      <c r="K101" s="5"/>
      <c r="L101" s="64"/>
      <c r="M101" s="65"/>
    </row>
    <row r="102" spans="1:13" ht="17.25" customHeight="1" thickBot="1" x14ac:dyDescent="0.3">
      <c r="A102" s="26" t="s">
        <v>114</v>
      </c>
      <c r="B102" s="26"/>
      <c r="C102" s="26"/>
      <c r="D102" s="34"/>
      <c r="E102" s="35"/>
      <c r="F102" s="45"/>
      <c r="G102" s="46"/>
      <c r="H102" s="52"/>
      <c r="I102" s="59"/>
      <c r="J102" s="34"/>
      <c r="K102" s="35"/>
      <c r="L102" s="70"/>
      <c r="M102" s="63"/>
    </row>
    <row r="103" spans="1:13" ht="17.25" customHeight="1" x14ac:dyDescent="0.25">
      <c r="B103" s="37" t="s">
        <v>52</v>
      </c>
      <c r="C103" s="36" t="s">
        <v>219</v>
      </c>
      <c r="D103" s="13">
        <f t="shared" ref="D103:D108" si="46">E103/5280</f>
        <v>0.85248106060606066</v>
      </c>
      <c r="E103" s="31">
        <f>3849.1+652</f>
        <v>4501.1000000000004</v>
      </c>
      <c r="F103" s="48">
        <f t="shared" ref="F103:F108" si="47">G103/5280</f>
        <v>1.5761742424242426</v>
      </c>
      <c r="G103" s="49">
        <f>7698.2+624</f>
        <v>8322.2000000000007</v>
      </c>
      <c r="H103" s="56">
        <f t="shared" ref="H103:H108" si="48">I103/5280</f>
        <v>0</v>
      </c>
      <c r="I103" s="56"/>
      <c r="J103" s="13">
        <f t="shared" ref="J103:J108" si="49">K103/5280</f>
        <v>0</v>
      </c>
      <c r="K103" s="5"/>
      <c r="L103" s="65">
        <f t="shared" ref="L103:L108" si="50">M103/5280</f>
        <v>0</v>
      </c>
      <c r="M103" s="65"/>
    </row>
    <row r="104" spans="1:13" ht="17.25" customHeight="1" x14ac:dyDescent="0.25">
      <c r="B104" s="1" t="s">
        <v>54</v>
      </c>
      <c r="C104" s="4" t="s">
        <v>55</v>
      </c>
      <c r="D104" s="31">
        <f t="shared" si="46"/>
        <v>0.34596022727272729</v>
      </c>
      <c r="E104" s="31">
        <v>1826.67</v>
      </c>
      <c r="F104" s="27">
        <f t="shared" si="47"/>
        <v>2.1140189393939393</v>
      </c>
      <c r="G104" s="28">
        <v>11162.02</v>
      </c>
      <c r="H104" s="56">
        <f t="shared" si="48"/>
        <v>0.69325000000000003</v>
      </c>
      <c r="I104" s="56">
        <v>3660.36</v>
      </c>
      <c r="J104" s="13">
        <f t="shared" si="49"/>
        <v>0</v>
      </c>
      <c r="K104" s="5"/>
      <c r="L104" s="65">
        <f t="shared" si="50"/>
        <v>0</v>
      </c>
      <c r="M104" s="65"/>
    </row>
    <row r="105" spans="1:13" ht="17.25" customHeight="1" x14ac:dyDescent="0.25">
      <c r="B105" s="1" t="s">
        <v>46</v>
      </c>
      <c r="C105" s="4" t="s">
        <v>150</v>
      </c>
      <c r="D105" s="31">
        <f t="shared" si="46"/>
        <v>4.3139393939393935</v>
      </c>
      <c r="E105" s="31">
        <v>22777.599999999999</v>
      </c>
      <c r="F105" s="27">
        <f t="shared" si="47"/>
        <v>4.7724431818181818</v>
      </c>
      <c r="G105" s="28">
        <f>22798.5+2400</f>
        <v>25198.5</v>
      </c>
      <c r="H105" s="56">
        <f t="shared" si="48"/>
        <v>0.69553030303030305</v>
      </c>
      <c r="I105" s="56">
        <v>3672.4</v>
      </c>
      <c r="J105" s="13">
        <f t="shared" si="49"/>
        <v>0.88992424242424251</v>
      </c>
      <c r="K105" s="5">
        <v>4698.8</v>
      </c>
      <c r="L105" s="65">
        <f t="shared" si="50"/>
        <v>0</v>
      </c>
      <c r="M105" s="65"/>
    </row>
    <row r="106" spans="1:13" ht="17.25" customHeight="1" x14ac:dyDescent="0.25">
      <c r="B106" s="1" t="s">
        <v>50</v>
      </c>
      <c r="C106" s="4" t="s">
        <v>51</v>
      </c>
      <c r="D106" s="31">
        <f t="shared" si="46"/>
        <v>0.67801136363636361</v>
      </c>
      <c r="E106" s="31">
        <v>3579.9</v>
      </c>
      <c r="F106" s="27">
        <f t="shared" si="47"/>
        <v>1.3560227272727272</v>
      </c>
      <c r="G106" s="28">
        <v>7159.8</v>
      </c>
      <c r="H106" s="56">
        <f t="shared" si="48"/>
        <v>0</v>
      </c>
      <c r="I106" s="56"/>
      <c r="J106" s="13">
        <f t="shared" si="49"/>
        <v>1.2820075757575757</v>
      </c>
      <c r="K106" s="5">
        <v>6769</v>
      </c>
      <c r="L106" s="65">
        <f t="shared" si="50"/>
        <v>0</v>
      </c>
      <c r="M106" s="65"/>
    </row>
    <row r="107" spans="1:13" x14ac:dyDescent="0.25">
      <c r="B107" s="1" t="s">
        <v>50</v>
      </c>
      <c r="C107" s="4" t="s">
        <v>53</v>
      </c>
      <c r="D107" s="31">
        <f t="shared" si="46"/>
        <v>3.5959659090909093</v>
      </c>
      <c r="E107" s="31">
        <v>18986.7</v>
      </c>
      <c r="F107" s="27">
        <f t="shared" si="47"/>
        <v>2.8299621212121213</v>
      </c>
      <c r="G107" s="28">
        <v>14942.2</v>
      </c>
      <c r="H107" s="56">
        <f t="shared" si="48"/>
        <v>0.71327651515151513</v>
      </c>
      <c r="I107" s="56">
        <v>3766.1</v>
      </c>
      <c r="J107" s="13">
        <f t="shared" si="49"/>
        <v>0</v>
      </c>
      <c r="K107" s="5"/>
      <c r="L107" s="65">
        <f t="shared" si="50"/>
        <v>0</v>
      </c>
      <c r="M107" s="65"/>
    </row>
    <row r="108" spans="1:13" ht="15.75" thickBot="1" x14ac:dyDescent="0.3">
      <c r="A108" s="14"/>
      <c r="B108" s="1" t="s">
        <v>49</v>
      </c>
      <c r="C108" s="1" t="s">
        <v>151</v>
      </c>
      <c r="D108" s="13">
        <f t="shared" si="46"/>
        <v>0.50602272727272735</v>
      </c>
      <c r="E108" s="5">
        <v>2671.8</v>
      </c>
      <c r="F108" s="27">
        <f t="shared" si="47"/>
        <v>0.6070075757575758</v>
      </c>
      <c r="G108" s="28">
        <v>3205</v>
      </c>
      <c r="H108" s="54">
        <f t="shared" si="48"/>
        <v>6.5265151515151526E-2</v>
      </c>
      <c r="I108" s="55">
        <v>344.6</v>
      </c>
      <c r="J108" s="13">
        <f t="shared" si="49"/>
        <v>0</v>
      </c>
      <c r="K108" s="5"/>
      <c r="L108" s="64">
        <f t="shared" si="50"/>
        <v>0</v>
      </c>
      <c r="M108" s="65"/>
    </row>
    <row r="109" spans="1:13" ht="17.25" customHeight="1" thickBot="1" x14ac:dyDescent="0.3">
      <c r="A109" s="26" t="s">
        <v>115</v>
      </c>
      <c r="B109" s="26"/>
      <c r="C109" s="26"/>
      <c r="D109" s="34"/>
      <c r="E109" s="35"/>
      <c r="F109" s="45"/>
      <c r="G109" s="46"/>
      <c r="H109" s="52"/>
      <c r="I109" s="59"/>
      <c r="J109" s="34"/>
      <c r="K109" s="35"/>
      <c r="L109" s="70"/>
      <c r="M109" s="63"/>
    </row>
    <row r="110" spans="1:13" ht="17.25" customHeight="1" x14ac:dyDescent="0.25">
      <c r="A110" s="40" t="s">
        <v>292</v>
      </c>
      <c r="B110" s="41" t="s">
        <v>202</v>
      </c>
      <c r="C110" s="41" t="s">
        <v>203</v>
      </c>
      <c r="D110" s="42">
        <f t="shared" si="41"/>
        <v>0.88049242424242424</v>
      </c>
      <c r="E110" s="43">
        <v>4649</v>
      </c>
      <c r="F110" s="50">
        <f t="shared" si="42"/>
        <v>1.3712121212121211</v>
      </c>
      <c r="G110" s="51">
        <v>7240</v>
      </c>
      <c r="H110" s="60">
        <f t="shared" si="43"/>
        <v>7.1922348484848492E-2</v>
      </c>
      <c r="I110" s="61">
        <v>379.75</v>
      </c>
      <c r="J110" s="42">
        <f t="shared" ref="J110:J114" si="51">K110/5280</f>
        <v>0</v>
      </c>
      <c r="K110" s="43"/>
      <c r="L110" s="71"/>
      <c r="M110" s="72"/>
    </row>
    <row r="111" spans="1:13" ht="17.25" customHeight="1" x14ac:dyDescent="0.25">
      <c r="A111" s="14"/>
      <c r="B111" s="1" t="s">
        <v>16</v>
      </c>
      <c r="C111" s="1" t="s">
        <v>240</v>
      </c>
      <c r="D111" s="13"/>
      <c r="E111" s="5"/>
      <c r="F111" s="27">
        <f t="shared" si="42"/>
        <v>1.8670454545454545</v>
      </c>
      <c r="G111" s="28">
        <v>9858</v>
      </c>
      <c r="H111" s="54">
        <f t="shared" si="43"/>
        <v>0.26534090909090907</v>
      </c>
      <c r="I111" s="55">
        <v>1401</v>
      </c>
      <c r="J111" s="13"/>
      <c r="K111" s="5"/>
      <c r="L111" s="64"/>
      <c r="M111" s="65"/>
    </row>
    <row r="112" spans="1:13" ht="17.25" customHeight="1" x14ac:dyDescent="0.25">
      <c r="A112" s="14"/>
      <c r="B112" s="1" t="s">
        <v>52</v>
      </c>
      <c r="C112" s="1" t="s">
        <v>124</v>
      </c>
      <c r="D112" s="13"/>
      <c r="E112" s="5"/>
      <c r="F112" s="27">
        <f t="shared" si="42"/>
        <v>2.8674242424242422</v>
      </c>
      <c r="G112" s="28">
        <v>15140</v>
      </c>
      <c r="H112" s="54">
        <f t="shared" si="43"/>
        <v>0.10662878787878788</v>
      </c>
      <c r="I112" s="55">
        <v>563</v>
      </c>
      <c r="J112" s="13"/>
      <c r="K112" s="5"/>
      <c r="L112" s="64"/>
      <c r="M112" s="65"/>
    </row>
    <row r="113" spans="1:31" ht="17.25" customHeight="1" x14ac:dyDescent="0.25">
      <c r="A113" s="14"/>
      <c r="B113" s="1" t="s">
        <v>125</v>
      </c>
      <c r="C113" s="1" t="s">
        <v>169</v>
      </c>
      <c r="D113" s="13">
        <f t="shared" si="41"/>
        <v>2.014034090909091</v>
      </c>
      <c r="E113" s="5">
        <v>10634.1</v>
      </c>
      <c r="F113" s="27">
        <f t="shared" si="42"/>
        <v>1.8480303030303031</v>
      </c>
      <c r="G113" s="28">
        <v>9757.6</v>
      </c>
      <c r="H113" s="54">
        <f t="shared" si="43"/>
        <v>0.33926136363636361</v>
      </c>
      <c r="I113" s="55">
        <v>1791.3</v>
      </c>
      <c r="J113" s="13">
        <f t="shared" si="51"/>
        <v>4.2173863636363631</v>
      </c>
      <c r="K113" s="5">
        <f>11964.8+5403+4900</f>
        <v>22267.8</v>
      </c>
      <c r="L113" s="64">
        <f>M113/5280</f>
        <v>0</v>
      </c>
      <c r="M113" s="66"/>
    </row>
    <row r="114" spans="1:31" x14ac:dyDescent="0.25">
      <c r="A114" s="14"/>
      <c r="B114" s="1" t="s">
        <v>159</v>
      </c>
      <c r="C114" s="1" t="s">
        <v>232</v>
      </c>
      <c r="D114" s="13">
        <f t="shared" si="41"/>
        <v>2.0149810606060607</v>
      </c>
      <c r="E114" s="5">
        <v>10639.1</v>
      </c>
      <c r="F114" s="27">
        <f t="shared" si="42"/>
        <v>3.0969886363636365</v>
      </c>
      <c r="G114" s="28">
        <v>16352.1</v>
      </c>
      <c r="H114" s="54">
        <f t="shared" si="43"/>
        <v>0.31437500000000002</v>
      </c>
      <c r="I114" s="55">
        <f>997.9+662</f>
        <v>1659.9</v>
      </c>
      <c r="J114" s="13">
        <f t="shared" si="51"/>
        <v>0</v>
      </c>
      <c r="K114" s="5">
        <v>0</v>
      </c>
      <c r="L114" s="64">
        <f t="shared" ref="L114" si="52">M114/5280</f>
        <v>0</v>
      </c>
      <c r="M114" s="65"/>
    </row>
    <row r="115" spans="1:31" s="44" customFormat="1" x14ac:dyDescent="0.25">
      <c r="A115" s="14"/>
      <c r="B115" s="1" t="s">
        <v>7</v>
      </c>
      <c r="C115" s="1" t="s">
        <v>100</v>
      </c>
      <c r="D115" s="13">
        <f t="shared" ref="D115:D121" si="53">E115/5280</f>
        <v>2.7670454545454546</v>
      </c>
      <c r="E115" s="5">
        <v>14610</v>
      </c>
      <c r="F115" s="27">
        <f t="shared" ref="F115:F122" si="54">G115/5280</f>
        <v>3.316041666666667</v>
      </c>
      <c r="G115" s="28">
        <v>17508.7</v>
      </c>
      <c r="H115" s="54">
        <f t="shared" ref="H115:H122" si="55">I115/5280</f>
        <v>0.36702651515151519</v>
      </c>
      <c r="I115" s="55">
        <v>1937.9</v>
      </c>
      <c r="J115" s="13">
        <f t="shared" ref="J115:J121" si="56">K115/5280</f>
        <v>0.11200757575757575</v>
      </c>
      <c r="K115" s="5">
        <v>591.4</v>
      </c>
      <c r="L115" s="64">
        <f t="shared" ref="L115:L121" si="57">M115/5280</f>
        <v>0</v>
      </c>
      <c r="M115" s="65"/>
    </row>
    <row r="116" spans="1:31" s="32" customFormat="1" x14ac:dyDescent="0.25">
      <c r="A116" s="14"/>
      <c r="B116" s="1" t="s">
        <v>96</v>
      </c>
      <c r="C116" s="1" t="s">
        <v>98</v>
      </c>
      <c r="D116" s="13">
        <f t="shared" si="53"/>
        <v>4.8940530303030298</v>
      </c>
      <c r="E116" s="5">
        <v>25840.6</v>
      </c>
      <c r="F116" s="27">
        <f t="shared" si="54"/>
        <v>6.2170454545454543</v>
      </c>
      <c r="G116" s="28">
        <v>32826</v>
      </c>
      <c r="H116" s="54">
        <f t="shared" si="55"/>
        <v>0.61850378787878779</v>
      </c>
      <c r="I116" s="55">
        <v>3265.7</v>
      </c>
      <c r="J116" s="13">
        <f t="shared" si="56"/>
        <v>0</v>
      </c>
      <c r="K116" s="5">
        <v>0</v>
      </c>
      <c r="L116" s="64">
        <f t="shared" si="57"/>
        <v>0</v>
      </c>
      <c r="M116" s="65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</row>
    <row r="117" spans="1:31" s="32" customFormat="1" x14ac:dyDescent="0.25">
      <c r="A117" s="14"/>
      <c r="B117" s="1" t="s">
        <v>101</v>
      </c>
      <c r="C117" s="1" t="s">
        <v>102</v>
      </c>
      <c r="D117" s="13">
        <f t="shared" si="53"/>
        <v>1.5069696969696971</v>
      </c>
      <c r="E117" s="5">
        <v>7956.8</v>
      </c>
      <c r="F117" s="27">
        <f t="shared" si="54"/>
        <v>1.3252840909090908</v>
      </c>
      <c r="G117" s="28">
        <f>5897.5+1100</f>
        <v>6997.5</v>
      </c>
      <c r="H117" s="54">
        <f t="shared" si="55"/>
        <v>0.30401515151515152</v>
      </c>
      <c r="I117" s="55">
        <v>1605.2</v>
      </c>
      <c r="J117" s="13">
        <f t="shared" si="56"/>
        <v>0</v>
      </c>
      <c r="K117" s="5"/>
      <c r="L117" s="64">
        <f t="shared" si="57"/>
        <v>0</v>
      </c>
      <c r="M117" s="65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</row>
    <row r="118" spans="1:31" x14ac:dyDescent="0.25">
      <c r="A118" s="14"/>
      <c r="B118" s="1" t="s">
        <v>99</v>
      </c>
      <c r="C118" s="1" t="s">
        <v>158</v>
      </c>
      <c r="D118" s="13">
        <f t="shared" si="53"/>
        <v>1.0020075757575759</v>
      </c>
      <c r="E118" s="5">
        <v>5290.6</v>
      </c>
      <c r="F118" s="27">
        <f t="shared" si="54"/>
        <v>2.0040151515151519</v>
      </c>
      <c r="G118" s="28">
        <v>10581.2</v>
      </c>
      <c r="H118" s="54">
        <f t="shared" si="55"/>
        <v>0</v>
      </c>
      <c r="I118" s="55"/>
      <c r="J118" s="13">
        <f t="shared" si="56"/>
        <v>0</v>
      </c>
      <c r="K118" s="5"/>
      <c r="L118" s="64">
        <f t="shared" si="57"/>
        <v>0</v>
      </c>
      <c r="M118" s="65"/>
    </row>
    <row r="119" spans="1:31" x14ac:dyDescent="0.25">
      <c r="A119" s="14"/>
      <c r="B119" s="1" t="s">
        <v>52</v>
      </c>
      <c r="C119" s="1" t="s">
        <v>160</v>
      </c>
      <c r="D119" s="13">
        <f t="shared" si="53"/>
        <v>1.5170075757575758</v>
      </c>
      <c r="E119" s="5">
        <v>8009.8</v>
      </c>
      <c r="F119" s="27">
        <f t="shared" si="54"/>
        <v>1.6630113636363637</v>
      </c>
      <c r="G119" s="28">
        <v>8780.7000000000007</v>
      </c>
      <c r="H119" s="54">
        <f t="shared" si="55"/>
        <v>0.20725378787878787</v>
      </c>
      <c r="I119" s="55">
        <v>1094.3</v>
      </c>
      <c r="J119" s="13">
        <f t="shared" si="56"/>
        <v>6.0189393939393938E-2</v>
      </c>
      <c r="K119" s="5">
        <v>317.8</v>
      </c>
      <c r="L119" s="64">
        <f t="shared" si="57"/>
        <v>0</v>
      </c>
      <c r="M119" s="65"/>
    </row>
    <row r="120" spans="1:31" x14ac:dyDescent="0.25">
      <c r="A120" s="14"/>
      <c r="B120" s="1" t="s">
        <v>96</v>
      </c>
      <c r="C120" s="1" t="s">
        <v>97</v>
      </c>
      <c r="D120" s="13">
        <f t="shared" si="53"/>
        <v>1.611003787878788</v>
      </c>
      <c r="E120" s="5">
        <v>8506.1</v>
      </c>
      <c r="F120" s="27">
        <f t="shared" si="54"/>
        <v>1.1520075757575758</v>
      </c>
      <c r="G120" s="28">
        <v>6082.6</v>
      </c>
      <c r="H120" s="54">
        <f t="shared" si="55"/>
        <v>0.27249999999999996</v>
      </c>
      <c r="I120" s="55">
        <v>1438.8</v>
      </c>
      <c r="J120" s="13">
        <f t="shared" si="56"/>
        <v>0</v>
      </c>
      <c r="K120" s="5"/>
      <c r="L120" s="64">
        <f t="shared" si="57"/>
        <v>0</v>
      </c>
      <c r="M120" s="65"/>
    </row>
    <row r="121" spans="1:31" x14ac:dyDescent="0.25">
      <c r="A121" s="14"/>
      <c r="B121" s="1" t="s">
        <v>173</v>
      </c>
      <c r="C121" s="1" t="s">
        <v>123</v>
      </c>
      <c r="D121" s="13">
        <f t="shared" si="53"/>
        <v>2.9879545454545453</v>
      </c>
      <c r="E121" s="5">
        <v>15776.4</v>
      </c>
      <c r="F121" s="27">
        <f t="shared" si="54"/>
        <v>3.1827083333333333</v>
      </c>
      <c r="G121" s="28">
        <v>16804.7</v>
      </c>
      <c r="H121" s="54">
        <f t="shared" si="55"/>
        <v>0.67162878787878788</v>
      </c>
      <c r="I121" s="55">
        <v>3546.2</v>
      </c>
      <c r="J121" s="13">
        <f t="shared" si="56"/>
        <v>0</v>
      </c>
      <c r="K121" s="5"/>
      <c r="L121" s="64">
        <f t="shared" si="57"/>
        <v>0</v>
      </c>
      <c r="M121" s="65"/>
    </row>
    <row r="122" spans="1:31" ht="15.75" thickBot="1" x14ac:dyDescent="0.3">
      <c r="A122" s="14"/>
      <c r="B122" s="1" t="s">
        <v>99</v>
      </c>
      <c r="C122" s="1" t="s">
        <v>274</v>
      </c>
      <c r="D122" s="2"/>
      <c r="E122" s="3"/>
      <c r="F122" s="27">
        <f t="shared" si="54"/>
        <v>0.97253787878787878</v>
      </c>
      <c r="G122" s="28">
        <v>5135</v>
      </c>
      <c r="H122" s="54">
        <f t="shared" si="55"/>
        <v>0.34734848484848485</v>
      </c>
      <c r="I122" s="55">
        <v>1834</v>
      </c>
      <c r="J122" s="2"/>
      <c r="K122" s="3"/>
      <c r="L122" s="64"/>
      <c r="M122" s="69"/>
    </row>
    <row r="123" spans="1:31" ht="17.25" customHeight="1" thickBot="1" x14ac:dyDescent="0.3">
      <c r="A123" s="26" t="s">
        <v>116</v>
      </c>
      <c r="B123" s="26"/>
      <c r="C123" s="26"/>
      <c r="D123" s="34"/>
      <c r="E123" s="35"/>
      <c r="F123" s="45"/>
      <c r="G123" s="46"/>
      <c r="H123" s="52"/>
      <c r="I123" s="53"/>
      <c r="J123" s="34"/>
      <c r="K123" s="35"/>
      <c r="L123" s="62"/>
      <c r="M123" s="63"/>
    </row>
    <row r="124" spans="1:31" ht="17.25" customHeight="1" x14ac:dyDescent="0.25">
      <c r="A124" s="14"/>
      <c r="B124" s="37" t="s">
        <v>56</v>
      </c>
      <c r="C124" s="37" t="s">
        <v>117</v>
      </c>
      <c r="D124" s="38">
        <f>E124/5280</f>
        <v>2.2599999999999998</v>
      </c>
      <c r="E124" s="39">
        <v>11932.8</v>
      </c>
      <c r="F124" s="48">
        <f t="shared" ref="F124:F129" si="58">G124/5280</f>
        <v>0.14400000000000002</v>
      </c>
      <c r="G124" s="49">
        <v>760.32</v>
      </c>
      <c r="H124" s="57">
        <f t="shared" ref="H124:H129" si="59">I124/5280</f>
        <v>0.56499999999999995</v>
      </c>
      <c r="I124" s="58">
        <v>2983.2</v>
      </c>
      <c r="J124" s="38">
        <f t="shared" ref="J124:J129" si="60">K124/5280</f>
        <v>0</v>
      </c>
      <c r="K124" s="39"/>
      <c r="L124" s="67">
        <f t="shared" ref="L124:L129" si="61">M124/5280</f>
        <v>0</v>
      </c>
      <c r="M124" s="68"/>
    </row>
    <row r="125" spans="1:31" ht="17.25" customHeight="1" x14ac:dyDescent="0.25">
      <c r="A125" s="14"/>
      <c r="B125" s="1" t="s">
        <v>59</v>
      </c>
      <c r="C125" s="1" t="s">
        <v>163</v>
      </c>
      <c r="D125" s="13">
        <f>E125/5280</f>
        <v>3.5729924242424245</v>
      </c>
      <c r="E125" s="5">
        <v>18865.400000000001</v>
      </c>
      <c r="F125" s="27">
        <f t="shared" si="58"/>
        <v>6.4180984848484846</v>
      </c>
      <c r="G125" s="28">
        <f>26753.56+7134</f>
        <v>33887.56</v>
      </c>
      <c r="H125" s="54">
        <f t="shared" si="59"/>
        <v>0.82910984848484848</v>
      </c>
      <c r="I125" s="55">
        <f>1586+2791.7</f>
        <v>4377.7</v>
      </c>
      <c r="J125" s="13">
        <f t="shared" si="60"/>
        <v>0</v>
      </c>
      <c r="K125" s="5"/>
      <c r="L125" s="64">
        <f t="shared" si="61"/>
        <v>0</v>
      </c>
      <c r="M125" s="65"/>
    </row>
    <row r="126" spans="1:31" x14ac:dyDescent="0.25">
      <c r="A126" s="14" t="s">
        <v>275</v>
      </c>
      <c r="B126" s="1" t="s">
        <v>39</v>
      </c>
      <c r="C126" s="1" t="s">
        <v>121</v>
      </c>
      <c r="D126" s="13">
        <f>E126/5280</f>
        <v>0.99899621212121203</v>
      </c>
      <c r="E126" s="5">
        <v>5274.7</v>
      </c>
      <c r="F126" s="27">
        <f t="shared" si="58"/>
        <v>0.92198863636363648</v>
      </c>
      <c r="G126" s="28">
        <v>4868.1000000000004</v>
      </c>
      <c r="H126" s="54">
        <f t="shared" si="59"/>
        <v>0.15899621212121212</v>
      </c>
      <c r="I126" s="55">
        <v>839.5</v>
      </c>
      <c r="J126" s="13">
        <f t="shared" si="60"/>
        <v>0</v>
      </c>
      <c r="K126" s="5"/>
      <c r="L126" s="64">
        <f t="shared" si="61"/>
        <v>0</v>
      </c>
      <c r="M126" s="65"/>
    </row>
    <row r="127" spans="1:31" x14ac:dyDescent="0.25">
      <c r="A127" s="14"/>
      <c r="B127" s="1" t="s">
        <v>118</v>
      </c>
      <c r="C127" s="1" t="s">
        <v>119</v>
      </c>
      <c r="D127" s="13">
        <f>E127/5280</f>
        <v>0.999</v>
      </c>
      <c r="E127" s="5">
        <v>5274.72</v>
      </c>
      <c r="F127" s="27">
        <f t="shared" si="58"/>
        <v>1.0619999999999998</v>
      </c>
      <c r="G127" s="28">
        <v>5607.36</v>
      </c>
      <c r="H127" s="54">
        <f t="shared" si="59"/>
        <v>0.22850000000000001</v>
      </c>
      <c r="I127" s="55">
        <v>1206.48</v>
      </c>
      <c r="J127" s="13">
        <f t="shared" si="60"/>
        <v>0</v>
      </c>
      <c r="K127" s="5"/>
      <c r="L127" s="64">
        <f t="shared" si="61"/>
        <v>0</v>
      </c>
      <c r="M127" s="65"/>
    </row>
    <row r="128" spans="1:31" x14ac:dyDescent="0.25">
      <c r="A128" s="14" t="s">
        <v>275</v>
      </c>
      <c r="B128" s="1" t="s">
        <v>120</v>
      </c>
      <c r="C128" s="1" t="s">
        <v>243</v>
      </c>
      <c r="D128" s="13">
        <f>E128/5280</f>
        <v>2.9510227272727274</v>
      </c>
      <c r="E128" s="5">
        <v>15581.4</v>
      </c>
      <c r="F128" s="27">
        <f t="shared" si="58"/>
        <v>1.0268939393939394</v>
      </c>
      <c r="G128" s="28">
        <v>5422</v>
      </c>
      <c r="H128" s="54">
        <f t="shared" si="59"/>
        <v>0.29356060606060608</v>
      </c>
      <c r="I128" s="55">
        <v>1550</v>
      </c>
      <c r="J128" s="13">
        <f t="shared" si="60"/>
        <v>0</v>
      </c>
      <c r="K128" s="5"/>
      <c r="L128" s="64">
        <f t="shared" si="61"/>
        <v>0</v>
      </c>
      <c r="M128" s="65"/>
    </row>
    <row r="129" spans="1:73" ht="15.75" thickBot="1" x14ac:dyDescent="0.3">
      <c r="A129" s="14" t="s">
        <v>275</v>
      </c>
      <c r="B129" s="1" t="s">
        <v>170</v>
      </c>
      <c r="C129" s="1" t="s">
        <v>121</v>
      </c>
      <c r="D129" s="13">
        <f t="shared" ref="D129" si="62">E129/5280</f>
        <v>0.96199999999999997</v>
      </c>
      <c r="E129" s="5">
        <v>5079.3599999999997</v>
      </c>
      <c r="F129" s="27">
        <f t="shared" si="58"/>
        <v>0.53900000000000003</v>
      </c>
      <c r="G129" s="28">
        <v>2845.92</v>
      </c>
      <c r="H129" s="54">
        <f t="shared" si="59"/>
        <v>0.22100000000000003</v>
      </c>
      <c r="I129" s="55">
        <v>1166.8800000000001</v>
      </c>
      <c r="J129" s="13">
        <f t="shared" si="60"/>
        <v>0</v>
      </c>
      <c r="K129" s="5"/>
      <c r="L129" s="64">
        <f t="shared" si="61"/>
        <v>0</v>
      </c>
      <c r="M129" s="66"/>
    </row>
    <row r="130" spans="1:73" ht="17.25" customHeight="1" thickBot="1" x14ac:dyDescent="0.3">
      <c r="A130" s="26" t="s">
        <v>218</v>
      </c>
      <c r="B130" s="26"/>
      <c r="C130" s="26"/>
      <c r="D130" s="34"/>
      <c r="E130" s="35"/>
      <c r="F130" s="45"/>
      <c r="G130" s="46"/>
      <c r="H130" s="52"/>
      <c r="I130" s="53"/>
      <c r="J130" s="34"/>
      <c r="K130" s="35"/>
      <c r="L130" s="62"/>
      <c r="M130" s="63"/>
    </row>
    <row r="131" spans="1:73" x14ac:dyDescent="0.25">
      <c r="A131" s="14" t="s">
        <v>284</v>
      </c>
      <c r="B131" s="37" t="s">
        <v>125</v>
      </c>
      <c r="C131" s="37" t="s">
        <v>126</v>
      </c>
      <c r="D131" s="38">
        <f t="shared" ref="D131:D132" si="63">E131/5280</f>
        <v>2.004003787878788</v>
      </c>
      <c r="E131" s="39">
        <f>6605.3+3975.84</f>
        <v>10581.14</v>
      </c>
      <c r="F131" s="48">
        <f t="shared" ref="F131:F132" si="64">G131/5280</f>
        <v>3.9149204545454541</v>
      </c>
      <c r="G131" s="49">
        <f>9599.1+3120+7951.68</f>
        <v>20670.78</v>
      </c>
      <c r="H131" s="57">
        <f t="shared" ref="H131:H132" si="65">I131/5280</f>
        <v>0.12600378787878788</v>
      </c>
      <c r="I131" s="58">
        <v>665.3</v>
      </c>
      <c r="J131" s="38">
        <f t="shared" ref="J131:J132" si="66">K131/5280</f>
        <v>0</v>
      </c>
      <c r="K131" s="39"/>
      <c r="L131" s="67">
        <f t="shared" ref="L131:L132" si="67">M131/5280</f>
        <v>0</v>
      </c>
      <c r="M131" s="68"/>
    </row>
    <row r="132" spans="1:73" x14ac:dyDescent="0.25">
      <c r="A132" s="14" t="s">
        <v>284</v>
      </c>
      <c r="B132" s="1" t="s">
        <v>6</v>
      </c>
      <c r="C132" s="1" t="s">
        <v>122</v>
      </c>
      <c r="D132" s="13">
        <f t="shared" si="63"/>
        <v>1.9349810606060607</v>
      </c>
      <c r="E132" s="5">
        <v>10216.700000000001</v>
      </c>
      <c r="F132" s="27">
        <f t="shared" si="64"/>
        <v>4.4046590909090906</v>
      </c>
      <c r="G132" s="28">
        <v>23256.6</v>
      </c>
      <c r="H132" s="54">
        <f t="shared" si="65"/>
        <v>0.27376893939393937</v>
      </c>
      <c r="I132" s="55">
        <f>1445.5</f>
        <v>1445.5</v>
      </c>
      <c r="J132" s="13">
        <f t="shared" si="66"/>
        <v>6.0760227272727274</v>
      </c>
      <c r="K132" s="5">
        <v>32081.4</v>
      </c>
      <c r="L132" s="64">
        <f t="shared" si="67"/>
        <v>0</v>
      </c>
      <c r="M132" s="65">
        <v>0</v>
      </c>
    </row>
    <row r="133" spans="1:73" s="30" customFormat="1" x14ac:dyDescent="0.25">
      <c r="A133" s="14"/>
      <c r="B133" s="1" t="s">
        <v>7</v>
      </c>
      <c r="C133" s="1" t="s">
        <v>188</v>
      </c>
      <c r="D133" s="13">
        <v>2.64</v>
      </c>
      <c r="E133" s="5">
        <f>D133*5280</f>
        <v>13939.2</v>
      </c>
      <c r="F133" s="27">
        <v>2.5099999999999998</v>
      </c>
      <c r="G133" s="28">
        <f>F133*5280</f>
        <v>13252.8</v>
      </c>
      <c r="H133" s="54">
        <v>0.502</v>
      </c>
      <c r="I133" s="55">
        <f>H133*5280</f>
        <v>2650.56</v>
      </c>
      <c r="J133" s="13"/>
      <c r="K133" s="5"/>
      <c r="L133" s="64"/>
      <c r="M133" s="65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</row>
    <row r="134" spans="1:73" x14ac:dyDescent="0.25">
      <c r="A134" s="14" t="s">
        <v>290</v>
      </c>
      <c r="B134" s="1" t="s">
        <v>20</v>
      </c>
      <c r="C134" s="1" t="s">
        <v>248</v>
      </c>
      <c r="D134" s="13">
        <f t="shared" ref="D134:D174" si="68">E134/5280</f>
        <v>4.687001893939394</v>
      </c>
      <c r="E134" s="5">
        <f>37197.61-12450.24</f>
        <v>24747.370000000003</v>
      </c>
      <c r="F134" s="27">
        <f t="shared" ref="F134:F163" si="69">G134/5280</f>
        <v>15.083234848484851</v>
      </c>
      <c r="G134" s="28">
        <f>65054.8-14224.32+28809</f>
        <v>79639.48000000001</v>
      </c>
      <c r="H134" s="54">
        <f t="shared" ref="H134:H162" si="70">I134/5280</f>
        <v>0.26824242424242428</v>
      </c>
      <c r="I134" s="55">
        <f>1469.2-341.88+289</f>
        <v>1416.3200000000002</v>
      </c>
      <c r="J134" s="13">
        <f t="shared" ref="J134:J162" si="71">K134/5280</f>
        <v>3.6865227272727275</v>
      </c>
      <c r="K134" s="5">
        <f>10454.4-1858.56+10869</f>
        <v>19464.84</v>
      </c>
      <c r="L134" s="64"/>
      <c r="M134" s="65"/>
    </row>
    <row r="135" spans="1:73" x14ac:dyDescent="0.25">
      <c r="A135" s="14"/>
      <c r="B135" s="1" t="s">
        <v>90</v>
      </c>
      <c r="C135" s="1" t="s">
        <v>226</v>
      </c>
      <c r="D135" s="13">
        <f t="shared" si="68"/>
        <v>1.013996212121212</v>
      </c>
      <c r="E135" s="5">
        <v>5353.9</v>
      </c>
      <c r="F135" s="27">
        <f t="shared" si="69"/>
        <v>4.8658901515151518</v>
      </c>
      <c r="G135" s="28">
        <v>25691.9</v>
      </c>
      <c r="H135" s="54">
        <f t="shared" si="70"/>
        <v>0.14609848484848484</v>
      </c>
      <c r="I135" s="55">
        <v>771.4</v>
      </c>
      <c r="J135" s="13">
        <f t="shared" si="71"/>
        <v>0</v>
      </c>
      <c r="K135" s="5"/>
      <c r="L135" s="64">
        <f>M135/5280</f>
        <v>0</v>
      </c>
      <c r="M135" s="65"/>
    </row>
    <row r="136" spans="1:73" x14ac:dyDescent="0.25">
      <c r="A136" s="14"/>
      <c r="B136" s="1" t="s">
        <v>90</v>
      </c>
      <c r="C136" s="1" t="s">
        <v>175</v>
      </c>
      <c r="D136" s="13">
        <f t="shared" si="68"/>
        <v>2.4900189393939391</v>
      </c>
      <c r="E136" s="5">
        <v>13147.3</v>
      </c>
      <c r="F136" s="27">
        <f t="shared" si="69"/>
        <v>2.1146022727272729</v>
      </c>
      <c r="G136" s="28">
        <f>10465.1+700</f>
        <v>11165.1</v>
      </c>
      <c r="H136" s="54">
        <f t="shared" si="70"/>
        <v>0.4657575757575757</v>
      </c>
      <c r="I136" s="55">
        <v>2459.1999999999998</v>
      </c>
      <c r="J136" s="13">
        <f t="shared" si="71"/>
        <v>0</v>
      </c>
      <c r="K136" s="5"/>
      <c r="L136" s="64">
        <f>M136/5280</f>
        <v>0</v>
      </c>
      <c r="M136" s="65"/>
    </row>
    <row r="137" spans="1:73" x14ac:dyDescent="0.25">
      <c r="A137" s="14" t="s">
        <v>284</v>
      </c>
      <c r="B137" s="1" t="s">
        <v>61</v>
      </c>
      <c r="C137" s="1" t="s">
        <v>165</v>
      </c>
      <c r="D137" s="2">
        <f>E137/5280</f>
        <v>5.5790151515151516</v>
      </c>
      <c r="E137" s="3">
        <v>29457.200000000001</v>
      </c>
      <c r="F137" s="27">
        <f>G137/5280</f>
        <v>9.2824621212121219</v>
      </c>
      <c r="G137" s="28">
        <f>42245.4+6766</f>
        <v>49011.4</v>
      </c>
      <c r="H137" s="54">
        <f>I137/5280</f>
        <v>0.64075757575757575</v>
      </c>
      <c r="I137" s="55">
        <v>3383.2</v>
      </c>
      <c r="J137" s="2">
        <f>K137/5280</f>
        <v>0</v>
      </c>
      <c r="K137" s="3"/>
      <c r="L137" s="64">
        <f>M137/5280</f>
        <v>0</v>
      </c>
      <c r="M137" s="66"/>
    </row>
    <row r="138" spans="1:73" x14ac:dyDescent="0.25">
      <c r="A138" s="14" t="s">
        <v>284</v>
      </c>
      <c r="B138" s="1" t="s">
        <v>159</v>
      </c>
      <c r="C138" s="1" t="s">
        <v>280</v>
      </c>
      <c r="D138" s="13"/>
      <c r="E138" s="5"/>
      <c r="F138" s="27">
        <f t="shared" ref="F138:F140" si="72">G138/5280</f>
        <v>2.3280303030303031</v>
      </c>
      <c r="G138" s="28">
        <f>6146*2</f>
        <v>12292</v>
      </c>
      <c r="H138" s="54">
        <f t="shared" ref="H138:H140" si="73">I138/5280</f>
        <v>0</v>
      </c>
      <c r="I138" s="55"/>
      <c r="J138" s="13"/>
      <c r="K138" s="5"/>
      <c r="L138" s="64"/>
      <c r="M138" s="65"/>
    </row>
    <row r="139" spans="1:73" x14ac:dyDescent="0.25">
      <c r="A139" s="14" t="s">
        <v>284</v>
      </c>
      <c r="B139" s="1" t="s">
        <v>37</v>
      </c>
      <c r="C139" s="1" t="s">
        <v>279</v>
      </c>
      <c r="D139" s="13"/>
      <c r="E139" s="5"/>
      <c r="F139" s="27">
        <f t="shared" si="72"/>
        <v>1.9768939393939393</v>
      </c>
      <c r="G139" s="28">
        <v>10438</v>
      </c>
      <c r="H139" s="54">
        <f t="shared" si="73"/>
        <v>7.3863636363636367E-2</v>
      </c>
      <c r="I139" s="55">
        <v>390</v>
      </c>
      <c r="J139" s="13"/>
      <c r="K139" s="5"/>
      <c r="L139" s="64"/>
      <c r="M139" s="65"/>
    </row>
    <row r="140" spans="1:73" x14ac:dyDescent="0.25">
      <c r="A140" s="14" t="s">
        <v>284</v>
      </c>
      <c r="B140" s="1" t="s">
        <v>281</v>
      </c>
      <c r="C140" s="1" t="s">
        <v>282</v>
      </c>
      <c r="D140" s="13"/>
      <c r="E140" s="5"/>
      <c r="F140" s="27">
        <f t="shared" si="72"/>
        <v>1.0861742424242424</v>
      </c>
      <c r="G140" s="28">
        <v>5735</v>
      </c>
      <c r="H140" s="54">
        <f t="shared" si="73"/>
        <v>7.8598484848484848E-2</v>
      </c>
      <c r="I140" s="55">
        <v>415</v>
      </c>
      <c r="J140" s="13"/>
      <c r="K140" s="5"/>
      <c r="L140" s="64"/>
      <c r="M140" s="65"/>
    </row>
    <row r="141" spans="1:73" ht="15.75" thickBot="1" x14ac:dyDescent="0.3">
      <c r="A141" s="14"/>
      <c r="B141" s="1"/>
      <c r="C141" s="1"/>
      <c r="D141" s="13"/>
      <c r="E141" s="5"/>
      <c r="F141" s="27"/>
      <c r="G141" s="28"/>
      <c r="H141" s="54"/>
      <c r="I141" s="55"/>
      <c r="J141" s="13"/>
      <c r="K141" s="5"/>
      <c r="L141" s="64"/>
      <c r="M141" s="65"/>
    </row>
    <row r="142" spans="1:73" ht="17.25" customHeight="1" thickBot="1" x14ac:dyDescent="0.3">
      <c r="A142" s="26" t="s">
        <v>128</v>
      </c>
      <c r="B142" s="26"/>
      <c r="C142" s="26"/>
      <c r="D142" s="34"/>
      <c r="E142" s="35"/>
      <c r="F142" s="45"/>
      <c r="G142" s="46"/>
      <c r="H142" s="52"/>
      <c r="I142" s="53"/>
      <c r="J142" s="34"/>
      <c r="K142" s="35"/>
      <c r="L142" s="62"/>
      <c r="M142" s="63"/>
    </row>
    <row r="143" spans="1:73" x14ac:dyDescent="0.25">
      <c r="A143" s="14" t="s">
        <v>277</v>
      </c>
      <c r="B143" s="1" t="s">
        <v>183</v>
      </c>
      <c r="C143" s="1" t="s">
        <v>184</v>
      </c>
      <c r="D143" s="13">
        <f>E143/5280</f>
        <v>5.0220151515151521</v>
      </c>
      <c r="E143" s="5">
        <v>26516.240000000002</v>
      </c>
      <c r="F143" s="27">
        <f>G143/5280</f>
        <v>2.2330000000000001</v>
      </c>
      <c r="G143" s="28">
        <v>11790.24</v>
      </c>
      <c r="H143" s="54">
        <f>I143/5280</f>
        <v>0.98151515151515145</v>
      </c>
      <c r="I143" s="55">
        <v>5182.3999999999996</v>
      </c>
      <c r="J143" s="13">
        <f>K143/5280</f>
        <v>0</v>
      </c>
      <c r="K143" s="5"/>
      <c r="L143" s="64">
        <f>M143/5280</f>
        <v>0</v>
      </c>
      <c r="M143" s="65"/>
    </row>
    <row r="144" spans="1:73" x14ac:dyDescent="0.25">
      <c r="A144" s="14"/>
      <c r="B144" s="1" t="s">
        <v>75</v>
      </c>
      <c r="C144" s="1" t="s">
        <v>187</v>
      </c>
      <c r="D144" s="13">
        <f>E144/5280</f>
        <v>3.7970340909090909</v>
      </c>
      <c r="E144" s="5">
        <f>22751.7-2703.36</f>
        <v>20048.34</v>
      </c>
      <c r="F144" s="27">
        <f>G144/5280</f>
        <v>3.7100189393939389</v>
      </c>
      <c r="G144" s="28">
        <f>20803.3-1214.4</f>
        <v>19588.899999999998</v>
      </c>
      <c r="H144" s="54">
        <f>I144/5280</f>
        <v>0.56774242424242427</v>
      </c>
      <c r="I144" s="55">
        <f>3525.8-528.12</f>
        <v>2997.6800000000003</v>
      </c>
      <c r="J144" s="13">
        <f>K144/5280</f>
        <v>7.7598295454545454</v>
      </c>
      <c r="K144" s="5">
        <f>46416.9-5445</f>
        <v>40971.9</v>
      </c>
      <c r="L144" s="64">
        <f>M144/5280</f>
        <v>0</v>
      </c>
      <c r="M144" s="65"/>
    </row>
    <row r="145" spans="1:13" x14ac:dyDescent="0.25">
      <c r="A145" s="14" t="s">
        <v>277</v>
      </c>
      <c r="B145" s="1" t="s">
        <v>69</v>
      </c>
      <c r="C145" s="1" t="s">
        <v>83</v>
      </c>
      <c r="D145" s="13">
        <f t="shared" ref="D145" si="74">E145/5280</f>
        <v>2.925037878787879</v>
      </c>
      <c r="E145" s="5">
        <v>15444.2</v>
      </c>
      <c r="F145" s="27">
        <f t="shared" ref="F145" si="75">G145/5280</f>
        <v>2.8480492424242425</v>
      </c>
      <c r="G145" s="28">
        <f>10686.7+4351</f>
        <v>15037.7</v>
      </c>
      <c r="H145" s="54">
        <f t="shared" ref="H145" si="76">I145/5280</f>
        <v>0.51725378787878784</v>
      </c>
      <c r="I145" s="55">
        <v>2731.1</v>
      </c>
      <c r="J145" s="13">
        <f t="shared" ref="J145" si="77">K145/5280</f>
        <v>5.6819696969696967</v>
      </c>
      <c r="K145" s="5">
        <f>8701.8+21299</f>
        <v>30000.799999999999</v>
      </c>
      <c r="L145" s="64">
        <f t="shared" ref="L145" si="78">M145/5280</f>
        <v>0</v>
      </c>
      <c r="M145" s="65"/>
    </row>
    <row r="146" spans="1:13" x14ac:dyDescent="0.25">
      <c r="A146" s="14"/>
      <c r="B146" s="1" t="s">
        <v>19</v>
      </c>
      <c r="C146" s="1" t="s">
        <v>77</v>
      </c>
      <c r="D146" s="13">
        <f t="shared" ref="D146:D154" si="79">E146/5280</f>
        <v>0.8520075757575758</v>
      </c>
      <c r="E146" s="5">
        <v>4498.6000000000004</v>
      </c>
      <c r="F146" s="27">
        <f t="shared" ref="F146:F154" si="80">G146/5280</f>
        <v>1.2110227272727272</v>
      </c>
      <c r="G146" s="28">
        <v>6394.2</v>
      </c>
      <c r="H146" s="54">
        <f t="shared" ref="H146:H153" si="81">I146/5280</f>
        <v>8.6268939393939398E-2</v>
      </c>
      <c r="I146" s="55">
        <v>455.5</v>
      </c>
      <c r="J146" s="13">
        <f t="shared" ref="J146:J153" si="82">K146/5280</f>
        <v>1.7040151515151516</v>
      </c>
      <c r="K146" s="5">
        <v>8997.2000000000007</v>
      </c>
      <c r="L146" s="64">
        <f t="shared" ref="L146:L153" si="83">M146/5280</f>
        <v>0</v>
      </c>
      <c r="M146" s="65"/>
    </row>
    <row r="147" spans="1:13" x14ac:dyDescent="0.25">
      <c r="A147" s="14"/>
      <c r="B147" s="1" t="s">
        <v>19</v>
      </c>
      <c r="C147" s="1" t="s">
        <v>154</v>
      </c>
      <c r="D147" s="13">
        <f t="shared" si="79"/>
        <v>0.34301136363636364</v>
      </c>
      <c r="E147" s="5">
        <v>1811.1</v>
      </c>
      <c r="F147" s="27">
        <f t="shared" si="80"/>
        <v>0.57204545454545452</v>
      </c>
      <c r="G147" s="28">
        <v>3020.4</v>
      </c>
      <c r="H147" s="54">
        <f t="shared" si="81"/>
        <v>0</v>
      </c>
      <c r="I147" s="55"/>
      <c r="J147" s="13">
        <f t="shared" si="82"/>
        <v>0.7980113636363636</v>
      </c>
      <c r="K147" s="5">
        <v>4213.5</v>
      </c>
      <c r="L147" s="64">
        <f t="shared" si="83"/>
        <v>0</v>
      </c>
      <c r="M147" s="65"/>
    </row>
    <row r="148" spans="1:13" x14ac:dyDescent="0.25">
      <c r="A148" s="14"/>
      <c r="B148" s="1" t="s">
        <v>78</v>
      </c>
      <c r="C148" s="1" t="s">
        <v>80</v>
      </c>
      <c r="D148" s="13">
        <f t="shared" si="79"/>
        <v>1.3510227272727271</v>
      </c>
      <c r="E148" s="5">
        <v>7133.4</v>
      </c>
      <c r="F148" s="27">
        <f t="shared" si="80"/>
        <v>0.69700757575757577</v>
      </c>
      <c r="G148" s="28">
        <v>3680.2</v>
      </c>
      <c r="H148" s="54">
        <f t="shared" si="81"/>
        <v>0.33776515151515152</v>
      </c>
      <c r="I148" s="55">
        <v>1783.4</v>
      </c>
      <c r="J148" s="13">
        <f t="shared" si="82"/>
        <v>0</v>
      </c>
      <c r="K148" s="5"/>
      <c r="L148" s="64">
        <f t="shared" si="83"/>
        <v>0</v>
      </c>
      <c r="M148" s="65"/>
    </row>
    <row r="149" spans="1:13" x14ac:dyDescent="0.25">
      <c r="A149" s="14"/>
      <c r="B149" s="1" t="s">
        <v>78</v>
      </c>
      <c r="C149" s="1" t="s">
        <v>79</v>
      </c>
      <c r="D149" s="13">
        <f t="shared" si="79"/>
        <v>1.379034090909091</v>
      </c>
      <c r="E149" s="5">
        <v>7281.3</v>
      </c>
      <c r="F149" s="27">
        <f t="shared" si="80"/>
        <v>1.5740340909090909</v>
      </c>
      <c r="G149" s="28">
        <v>8310.9</v>
      </c>
      <c r="H149" s="54">
        <f t="shared" si="81"/>
        <v>0.16325757575757577</v>
      </c>
      <c r="I149" s="55">
        <v>862</v>
      </c>
      <c r="J149" s="13">
        <f t="shared" si="82"/>
        <v>1.8401515151515151</v>
      </c>
      <c r="K149" s="5">
        <f>1716+8000</f>
        <v>9716</v>
      </c>
      <c r="L149" s="64">
        <f t="shared" si="83"/>
        <v>0.12401515151515151</v>
      </c>
      <c r="M149" s="65">
        <v>654.79999999999995</v>
      </c>
    </row>
    <row r="150" spans="1:13" x14ac:dyDescent="0.25">
      <c r="A150" s="14"/>
      <c r="B150" s="1" t="s">
        <v>24</v>
      </c>
      <c r="C150" s="1" t="s">
        <v>155</v>
      </c>
      <c r="D150" s="13">
        <f t="shared" si="79"/>
        <v>0.60801136363636366</v>
      </c>
      <c r="E150" s="5">
        <v>3210.3</v>
      </c>
      <c r="F150" s="27">
        <f t="shared" si="80"/>
        <v>0.74602272727272723</v>
      </c>
      <c r="G150" s="28">
        <v>3939</v>
      </c>
      <c r="H150" s="54">
        <f t="shared" si="81"/>
        <v>9.3996212121212119E-2</v>
      </c>
      <c r="I150" s="55">
        <v>496.3</v>
      </c>
      <c r="J150" s="13">
        <f t="shared" si="82"/>
        <v>3.4015151515151512E-2</v>
      </c>
      <c r="K150" s="5">
        <v>179.6</v>
      </c>
      <c r="L150" s="64">
        <f t="shared" si="83"/>
        <v>0</v>
      </c>
      <c r="M150" s="65"/>
    </row>
    <row r="151" spans="1:13" x14ac:dyDescent="0.25">
      <c r="A151" s="14"/>
      <c r="B151" s="1" t="s">
        <v>32</v>
      </c>
      <c r="C151" s="1" t="s">
        <v>81</v>
      </c>
      <c r="D151" s="13">
        <f t="shared" si="79"/>
        <v>2.1739962121212124</v>
      </c>
      <c r="E151" s="5">
        <v>11478.7</v>
      </c>
      <c r="F151" s="27">
        <f t="shared" si="80"/>
        <v>1.7221022727272728</v>
      </c>
      <c r="G151" s="28">
        <f>7592.7+1500</f>
        <v>9092.7000000000007</v>
      </c>
      <c r="H151" s="54">
        <f t="shared" si="81"/>
        <v>0.41452651515151512</v>
      </c>
      <c r="I151" s="55">
        <v>2188.6999999999998</v>
      </c>
      <c r="J151" s="13">
        <f t="shared" si="82"/>
        <v>0</v>
      </c>
      <c r="K151" s="5"/>
      <c r="L151" s="64">
        <f t="shared" si="83"/>
        <v>0</v>
      </c>
      <c r="M151" s="65"/>
    </row>
    <row r="152" spans="1:13" x14ac:dyDescent="0.25">
      <c r="A152" s="14"/>
      <c r="B152" s="1" t="s">
        <v>84</v>
      </c>
      <c r="C152" s="1" t="s">
        <v>238</v>
      </c>
      <c r="D152" s="13">
        <f t="shared" si="79"/>
        <v>0.62901515151515153</v>
      </c>
      <c r="E152" s="5">
        <v>3321.2</v>
      </c>
      <c r="F152" s="27">
        <f t="shared" si="80"/>
        <v>1.2335606060606061</v>
      </c>
      <c r="G152" s="28">
        <f>4113.2+2400</f>
        <v>6513.2</v>
      </c>
      <c r="H152" s="54">
        <f t="shared" si="81"/>
        <v>6.6515151515151513E-2</v>
      </c>
      <c r="I152" s="55">
        <v>351.2</v>
      </c>
      <c r="J152" s="13">
        <f t="shared" si="82"/>
        <v>1.3326325757575759</v>
      </c>
      <c r="K152" s="5">
        <f>1536.3+5500</f>
        <v>7036.3</v>
      </c>
      <c r="L152" s="64">
        <f t="shared" si="83"/>
        <v>0</v>
      </c>
      <c r="M152" s="65"/>
    </row>
    <row r="153" spans="1:13" x14ac:dyDescent="0.25">
      <c r="A153" s="14" t="s">
        <v>277</v>
      </c>
      <c r="B153" s="1" t="s">
        <v>65</v>
      </c>
      <c r="C153" s="1" t="s">
        <v>156</v>
      </c>
      <c r="D153" s="13">
        <f t="shared" si="79"/>
        <v>1.4000189393939395</v>
      </c>
      <c r="E153" s="5">
        <v>7392.1</v>
      </c>
      <c r="F153" s="27">
        <f t="shared" si="80"/>
        <v>2.052007575757576</v>
      </c>
      <c r="G153" s="28">
        <v>10834.6</v>
      </c>
      <c r="H153" s="54">
        <f t="shared" si="81"/>
        <v>0</v>
      </c>
      <c r="I153" s="55"/>
      <c r="J153" s="13">
        <f t="shared" si="82"/>
        <v>2.2559848484848484</v>
      </c>
      <c r="K153" s="5">
        <v>11911.6</v>
      </c>
      <c r="L153" s="64">
        <f t="shared" si="83"/>
        <v>0</v>
      </c>
      <c r="M153" s="65"/>
    </row>
    <row r="154" spans="1:13" ht="15.75" thickBot="1" x14ac:dyDescent="0.3">
      <c r="A154" s="14"/>
      <c r="B154" s="1" t="s">
        <v>32</v>
      </c>
      <c r="C154" s="1" t="s">
        <v>138</v>
      </c>
      <c r="D154" s="13">
        <f t="shared" si="79"/>
        <v>0.127</v>
      </c>
      <c r="E154" s="5">
        <v>670.56</v>
      </c>
      <c r="F154" s="27">
        <f t="shared" si="80"/>
        <v>0.254</v>
      </c>
      <c r="G154" s="28">
        <v>1341.12</v>
      </c>
      <c r="H154" s="54">
        <f t="shared" ref="H154" si="84">I154/5280</f>
        <v>0</v>
      </c>
      <c r="I154" s="55"/>
      <c r="J154" s="13">
        <f t="shared" ref="J154" si="85">K154/5280</f>
        <v>0</v>
      </c>
      <c r="K154" s="5"/>
      <c r="L154" s="64"/>
      <c r="M154" s="65"/>
    </row>
    <row r="155" spans="1:13" ht="15.75" thickBot="1" x14ac:dyDescent="0.3">
      <c r="A155" s="26" t="s">
        <v>127</v>
      </c>
      <c r="B155" s="26"/>
      <c r="C155" s="26"/>
      <c r="D155" s="34"/>
      <c r="E155" s="35"/>
      <c r="F155" s="45"/>
      <c r="G155" s="46"/>
      <c r="H155" s="52"/>
      <c r="I155" s="53"/>
      <c r="J155" s="34"/>
      <c r="K155" s="35"/>
      <c r="L155" s="62"/>
      <c r="M155" s="63"/>
    </row>
    <row r="156" spans="1:13" x14ac:dyDescent="0.25">
      <c r="A156" s="14"/>
      <c r="B156" s="37" t="s">
        <v>8</v>
      </c>
      <c r="C156" s="37" t="s">
        <v>296</v>
      </c>
      <c r="D156" s="38">
        <f>E156/5280</f>
        <v>0.6634469696969697</v>
      </c>
      <c r="E156" s="39">
        <v>3503</v>
      </c>
      <c r="F156" s="48">
        <f>G156/5280</f>
        <v>3.2430113636363633</v>
      </c>
      <c r="G156" s="49">
        <v>17123.099999999999</v>
      </c>
      <c r="H156" s="57">
        <f>I156/5280</f>
        <v>0.65575757575757576</v>
      </c>
      <c r="I156" s="58">
        <v>3462.4</v>
      </c>
      <c r="J156" s="38"/>
      <c r="K156" s="39">
        <v>306.2</v>
      </c>
      <c r="L156" s="67"/>
      <c r="M156" s="68"/>
    </row>
    <row r="157" spans="1:13" ht="15.75" thickBot="1" x14ac:dyDescent="0.3">
      <c r="A157" s="14"/>
      <c r="B157" s="1" t="s">
        <v>93</v>
      </c>
      <c r="C157" s="1" t="s">
        <v>227</v>
      </c>
      <c r="D157" s="13">
        <f>E157/5280</f>
        <v>1.4310037878787878</v>
      </c>
      <c r="E157" s="5">
        <v>7555.7</v>
      </c>
      <c r="F157" s="27">
        <f>G157/5280</f>
        <v>1.1002272727272726</v>
      </c>
      <c r="G157" s="28">
        <f>4509.2+1300</f>
        <v>5809.2</v>
      </c>
      <c r="H157" s="54">
        <f>I157/5280</f>
        <v>0.33850378787878788</v>
      </c>
      <c r="I157" s="55">
        <v>1787.3</v>
      </c>
      <c r="J157" s="13">
        <f>K157/5280</f>
        <v>2.8620075757575756</v>
      </c>
      <c r="K157" s="5">
        <v>15111.4</v>
      </c>
      <c r="L157" s="64"/>
      <c r="M157" s="65"/>
    </row>
    <row r="158" spans="1:13" ht="15.75" thickBot="1" x14ac:dyDescent="0.3">
      <c r="A158" s="26" t="s">
        <v>242</v>
      </c>
      <c r="B158" s="26"/>
      <c r="C158" s="26"/>
      <c r="D158" s="34"/>
      <c r="E158" s="35"/>
      <c r="F158" s="45"/>
      <c r="G158" s="46"/>
      <c r="H158" s="52"/>
      <c r="I158" s="53"/>
      <c r="J158" s="34"/>
      <c r="K158" s="35"/>
      <c r="L158" s="62"/>
      <c r="M158" s="63"/>
    </row>
    <row r="159" spans="1:13" ht="17.25" customHeight="1" x14ac:dyDescent="0.25">
      <c r="A159" s="14"/>
      <c r="B159" s="1" t="s">
        <v>46</v>
      </c>
      <c r="C159" s="1" t="s">
        <v>244</v>
      </c>
      <c r="D159" s="13">
        <f>E159/5280</f>
        <v>8.0599621212121217</v>
      </c>
      <c r="E159" s="5">
        <v>42556.6</v>
      </c>
      <c r="F159" s="27">
        <f>G159/5280</f>
        <v>6.7827651515151519</v>
      </c>
      <c r="G159" s="28">
        <v>35813</v>
      </c>
      <c r="H159" s="54">
        <f>I159/5280</f>
        <v>0.6695075757575758</v>
      </c>
      <c r="I159" s="55">
        <v>3535</v>
      </c>
      <c r="J159" s="13">
        <f t="shared" ref="J159" si="86">K159/5280</f>
        <v>0.11200757575757575</v>
      </c>
      <c r="K159" s="5">
        <v>591.4</v>
      </c>
      <c r="L159" s="64">
        <f t="shared" ref="L159" si="87">M159/5280</f>
        <v>0</v>
      </c>
      <c r="M159" s="65"/>
    </row>
    <row r="160" spans="1:13" ht="17.25" customHeight="1" thickBot="1" x14ac:dyDescent="0.3">
      <c r="A160" s="14"/>
      <c r="B160" s="1" t="s">
        <v>19</v>
      </c>
      <c r="C160" s="1" t="s">
        <v>276</v>
      </c>
      <c r="D160" s="13"/>
      <c r="E160" s="5"/>
      <c r="F160" s="27">
        <f>G160/5280</f>
        <v>0.97840909090909089</v>
      </c>
      <c r="G160" s="28">
        <f>2583*2</f>
        <v>5166</v>
      </c>
      <c r="H160" s="54"/>
      <c r="I160" s="55"/>
      <c r="J160" s="13"/>
      <c r="K160" s="5"/>
      <c r="L160" s="64"/>
      <c r="M160" s="65"/>
    </row>
    <row r="161" spans="1:13" ht="17.25" customHeight="1" thickBot="1" x14ac:dyDescent="0.3">
      <c r="A161" s="26" t="s">
        <v>131</v>
      </c>
      <c r="B161" s="26"/>
      <c r="C161" s="26"/>
      <c r="D161" s="34"/>
      <c r="E161" s="35"/>
      <c r="F161" s="45"/>
      <c r="G161" s="46"/>
      <c r="H161" s="52"/>
      <c r="I161" s="53"/>
      <c r="J161" s="34"/>
      <c r="K161" s="35"/>
      <c r="L161" s="62"/>
      <c r="M161" s="63"/>
    </row>
    <row r="162" spans="1:13" ht="17.25" customHeight="1" x14ac:dyDescent="0.25">
      <c r="A162" s="14"/>
      <c r="B162" s="37" t="s">
        <v>74</v>
      </c>
      <c r="C162" s="1" t="s">
        <v>164</v>
      </c>
      <c r="D162" s="13">
        <f t="shared" si="68"/>
        <v>2.487026515151515</v>
      </c>
      <c r="E162" s="5">
        <v>13131.5</v>
      </c>
      <c r="F162" s="27">
        <f t="shared" si="69"/>
        <v>2.338011363636364</v>
      </c>
      <c r="G162" s="28">
        <v>12344.7</v>
      </c>
      <c r="H162" s="57">
        <f t="shared" si="70"/>
        <v>0.38075757575757579</v>
      </c>
      <c r="I162" s="58">
        <v>2010.4</v>
      </c>
      <c r="J162" s="38">
        <f t="shared" si="71"/>
        <v>0</v>
      </c>
      <c r="K162" s="39"/>
      <c r="L162" s="67">
        <f>M162/5280</f>
        <v>0</v>
      </c>
      <c r="M162" s="68"/>
    </row>
    <row r="163" spans="1:13" x14ac:dyDescent="0.25">
      <c r="A163" s="14"/>
      <c r="B163" s="1" t="s">
        <v>99</v>
      </c>
      <c r="C163" s="1" t="s">
        <v>223</v>
      </c>
      <c r="D163" s="13">
        <f t="shared" si="68"/>
        <v>0.23200757575757575</v>
      </c>
      <c r="E163" s="5">
        <v>1225</v>
      </c>
      <c r="F163" s="27">
        <f t="shared" si="69"/>
        <v>0.23200757575757575</v>
      </c>
      <c r="G163" s="28">
        <v>1225</v>
      </c>
      <c r="H163" s="54"/>
      <c r="I163" s="55"/>
      <c r="J163" s="13"/>
      <c r="K163" s="5"/>
      <c r="L163" s="64"/>
      <c r="M163" s="65"/>
    </row>
    <row r="164" spans="1:13" x14ac:dyDescent="0.25">
      <c r="A164" s="14"/>
      <c r="B164" s="1" t="s">
        <v>54</v>
      </c>
      <c r="C164" s="1" t="s">
        <v>130</v>
      </c>
      <c r="D164" s="13">
        <f t="shared" si="68"/>
        <v>1.4989962121212121</v>
      </c>
      <c r="E164" s="5">
        <v>7914.7</v>
      </c>
      <c r="F164" s="27">
        <f t="shared" ref="F164:F174" si="88">G164/5280</f>
        <v>2.355</v>
      </c>
      <c r="G164" s="28">
        <v>12434.4</v>
      </c>
      <c r="H164" s="54">
        <f t="shared" ref="H164:H174" si="89">I164/5280</f>
        <v>0.11725378787878789</v>
      </c>
      <c r="I164" s="55">
        <v>619.1</v>
      </c>
      <c r="J164" s="13">
        <f t="shared" ref="J164:J174" si="90">K164/5280</f>
        <v>0.38071969696969699</v>
      </c>
      <c r="K164" s="5">
        <f>1003.2+1007</f>
        <v>2010.2</v>
      </c>
      <c r="L164" s="64">
        <f t="shared" ref="L164:L174" si="91">M164/5280</f>
        <v>0</v>
      </c>
      <c r="M164" s="65"/>
    </row>
    <row r="165" spans="1:13" x14ac:dyDescent="0.25">
      <c r="A165" s="14" t="s">
        <v>286</v>
      </c>
      <c r="B165" s="1" t="s">
        <v>104</v>
      </c>
      <c r="C165" s="1" t="s">
        <v>129</v>
      </c>
      <c r="D165" s="13">
        <f>E165/5280</f>
        <v>4.62</v>
      </c>
      <c r="E165" s="5">
        <v>24393.599999999999</v>
      </c>
      <c r="F165" s="27">
        <f>G165/5280</f>
        <v>8.6594696969696976</v>
      </c>
      <c r="G165" s="28">
        <v>45722</v>
      </c>
      <c r="H165" s="54">
        <f>I165/5280</f>
        <v>7.9545454545454544E-2</v>
      </c>
      <c r="I165" s="55">
        <v>420</v>
      </c>
      <c r="J165" s="13">
        <f>K165/5280</f>
        <v>9.057954545454546</v>
      </c>
      <c r="K165" s="5">
        <v>47826</v>
      </c>
      <c r="L165" s="64">
        <f>M165/5280</f>
        <v>2.0731060606060607</v>
      </c>
      <c r="M165" s="65">
        <v>10946</v>
      </c>
    </row>
    <row r="166" spans="1:13" x14ac:dyDescent="0.25">
      <c r="A166" s="14"/>
      <c r="B166" s="1" t="s">
        <v>96</v>
      </c>
      <c r="C166" s="1" t="s">
        <v>204</v>
      </c>
      <c r="D166" s="13">
        <f>E166/5280</f>
        <v>1.2659090909090909</v>
      </c>
      <c r="E166" s="5">
        <v>6684</v>
      </c>
      <c r="F166" s="27">
        <f>G166/5280</f>
        <v>3.3011363636363638</v>
      </c>
      <c r="G166" s="28">
        <v>17430</v>
      </c>
      <c r="H166" s="54"/>
      <c r="I166" s="55">
        <v>600</v>
      </c>
      <c r="J166" s="13"/>
      <c r="K166" s="5"/>
      <c r="L166" s="64"/>
      <c r="M166" s="65"/>
    </row>
    <row r="167" spans="1:13" x14ac:dyDescent="0.25">
      <c r="A167" s="14"/>
      <c r="B167" s="1" t="s">
        <v>61</v>
      </c>
      <c r="C167" s="1" t="s">
        <v>157</v>
      </c>
      <c r="D167" s="13">
        <f>E167/5280</f>
        <v>2.931</v>
      </c>
      <c r="E167" s="5">
        <v>15475.68</v>
      </c>
      <c r="F167" s="27">
        <f>G167/5280</f>
        <v>5.2279999999999998</v>
      </c>
      <c r="G167" s="28">
        <v>27603.84</v>
      </c>
      <c r="H167" s="54">
        <f>I167/5280</f>
        <v>0.112</v>
      </c>
      <c r="I167" s="55">
        <v>591.36</v>
      </c>
      <c r="J167" s="13">
        <f>K167/5280</f>
        <v>3.1883636363636358</v>
      </c>
      <c r="K167" s="5">
        <f>10834.56+6000</f>
        <v>16834.559999999998</v>
      </c>
      <c r="L167" s="64">
        <f>M167/5280</f>
        <v>0</v>
      </c>
      <c r="M167" s="65"/>
    </row>
    <row r="168" spans="1:13" ht="15.75" thickBot="1" x14ac:dyDescent="0.3">
      <c r="A168" s="14" t="s">
        <v>291</v>
      </c>
      <c r="B168" s="1" t="s">
        <v>173</v>
      </c>
      <c r="C168" s="1" t="s">
        <v>174</v>
      </c>
      <c r="D168" s="13">
        <f>E168/5280</f>
        <v>2.4320265151515152</v>
      </c>
      <c r="E168" s="5">
        <v>12841.1</v>
      </c>
      <c r="F168" s="27">
        <f>G168/5280</f>
        <v>3.6626515151515151</v>
      </c>
      <c r="G168" s="28">
        <f>17513.8+1825</f>
        <v>19338.8</v>
      </c>
      <c r="H168" s="54">
        <f>I168/5280</f>
        <v>0.29812499999999997</v>
      </c>
      <c r="I168" s="55">
        <v>1574.1</v>
      </c>
      <c r="J168" s="13">
        <f>K168/5280</f>
        <v>0</v>
      </c>
      <c r="K168" s="5"/>
      <c r="L168" s="64">
        <f>M168/5280</f>
        <v>0</v>
      </c>
      <c r="M168" s="65"/>
    </row>
    <row r="169" spans="1:13" ht="17.25" customHeight="1" thickBot="1" x14ac:dyDescent="0.3">
      <c r="A169" s="26" t="s">
        <v>132</v>
      </c>
      <c r="B169" s="26"/>
      <c r="C169" s="26"/>
      <c r="D169" s="34"/>
      <c r="E169" s="35"/>
      <c r="F169" s="45"/>
      <c r="G169" s="46"/>
      <c r="H169" s="52"/>
      <c r="I169" s="53"/>
      <c r="J169" s="34"/>
      <c r="K169" s="35"/>
      <c r="L169" s="62"/>
      <c r="M169" s="63"/>
    </row>
    <row r="170" spans="1:13" x14ac:dyDescent="0.25">
      <c r="A170" s="14"/>
      <c r="B170" s="37" t="s">
        <v>65</v>
      </c>
      <c r="C170" s="37" t="s">
        <v>166</v>
      </c>
      <c r="D170" s="38">
        <f t="shared" si="68"/>
        <v>0.56799242424242424</v>
      </c>
      <c r="E170" s="39">
        <v>2999</v>
      </c>
      <c r="F170" s="48">
        <f t="shared" si="88"/>
        <v>0.8929924242424242</v>
      </c>
      <c r="G170" s="49">
        <v>4715</v>
      </c>
      <c r="H170" s="57">
        <f t="shared" si="89"/>
        <v>4.4999999999999998E-2</v>
      </c>
      <c r="I170" s="58">
        <v>237.6</v>
      </c>
      <c r="J170" s="38">
        <f t="shared" si="90"/>
        <v>0.13598484848484849</v>
      </c>
      <c r="K170" s="39">
        <v>718</v>
      </c>
      <c r="L170" s="67">
        <f t="shared" si="91"/>
        <v>0</v>
      </c>
      <c r="M170" s="68"/>
    </row>
    <row r="171" spans="1:13" x14ac:dyDescent="0.25">
      <c r="A171" s="14"/>
      <c r="B171" s="1" t="s">
        <v>135</v>
      </c>
      <c r="C171" s="1" t="s">
        <v>136</v>
      </c>
      <c r="D171" s="13">
        <f t="shared" si="68"/>
        <v>2.4806250000000003</v>
      </c>
      <c r="E171" s="5">
        <f>4329.5+1957+6811.2</f>
        <v>13097.7</v>
      </c>
      <c r="F171" s="27">
        <f t="shared" si="88"/>
        <v>3.0389924242424242</v>
      </c>
      <c r="G171" s="28">
        <f>4319+11726.88</f>
        <v>16045.88</v>
      </c>
      <c r="H171" s="54">
        <f t="shared" si="89"/>
        <v>0.19475378787878786</v>
      </c>
      <c r="I171" s="55">
        <f>698.3+330</f>
        <v>1028.3</v>
      </c>
      <c r="J171" s="13">
        <f t="shared" si="90"/>
        <v>1.2570000000000001</v>
      </c>
      <c r="K171" s="5">
        <f>660+5976.96</f>
        <v>6636.96</v>
      </c>
      <c r="L171" s="64">
        <f t="shared" si="91"/>
        <v>0</v>
      </c>
      <c r="M171" s="65"/>
    </row>
    <row r="172" spans="1:13" x14ac:dyDescent="0.25">
      <c r="A172" s="14"/>
      <c r="B172" s="1" t="s">
        <v>133</v>
      </c>
      <c r="C172" s="1" t="s">
        <v>134</v>
      </c>
      <c r="D172" s="13">
        <f t="shared" si="68"/>
        <v>2.8230113636363638</v>
      </c>
      <c r="E172" s="5">
        <v>14905.5</v>
      </c>
      <c r="F172" s="27">
        <f t="shared" si="88"/>
        <v>2.5879924242424241</v>
      </c>
      <c r="G172" s="28">
        <v>13664.6</v>
      </c>
      <c r="H172" s="54">
        <f t="shared" si="89"/>
        <v>0.44450757575757577</v>
      </c>
      <c r="I172" s="55">
        <v>2347</v>
      </c>
      <c r="J172" s="13">
        <f t="shared" si="90"/>
        <v>0.16</v>
      </c>
      <c r="K172" s="5">
        <v>844.8</v>
      </c>
      <c r="L172" s="64">
        <f t="shared" si="91"/>
        <v>0</v>
      </c>
      <c r="M172" s="65"/>
    </row>
    <row r="173" spans="1:13" x14ac:dyDescent="0.25">
      <c r="A173" s="14"/>
      <c r="B173" s="1" t="s">
        <v>75</v>
      </c>
      <c r="C173" s="1" t="s">
        <v>285</v>
      </c>
      <c r="D173" s="13">
        <f t="shared" si="68"/>
        <v>1.6519431818181818</v>
      </c>
      <c r="E173" s="5">
        <f>15338.1-6615.84</f>
        <v>8722.26</v>
      </c>
      <c r="F173" s="27">
        <f t="shared" si="88"/>
        <v>3.3172765151515153</v>
      </c>
      <c r="G173" s="28">
        <f>(12022.3+2079)-4810.08+8224</f>
        <v>17515.22</v>
      </c>
      <c r="H173" s="54">
        <f t="shared" si="89"/>
        <v>0.62828787878787884</v>
      </c>
      <c r="I173" s="55">
        <f>3000.4-1250.04+1567</f>
        <v>3317.36</v>
      </c>
      <c r="J173" s="13">
        <f t="shared" si="90"/>
        <v>0</v>
      </c>
      <c r="K173" s="5"/>
      <c r="L173" s="64">
        <f t="shared" si="91"/>
        <v>0</v>
      </c>
      <c r="M173" s="65"/>
    </row>
    <row r="174" spans="1:13" x14ac:dyDescent="0.25">
      <c r="A174" s="14"/>
      <c r="B174" s="1" t="s">
        <v>75</v>
      </c>
      <c r="C174" s="1" t="s">
        <v>137</v>
      </c>
      <c r="D174" s="13">
        <f t="shared" si="68"/>
        <v>0.88200757575757571</v>
      </c>
      <c r="E174" s="5">
        <v>4657</v>
      </c>
      <c r="F174" s="27">
        <f t="shared" si="88"/>
        <v>1.1970075757575758</v>
      </c>
      <c r="G174" s="28">
        <v>6320.2</v>
      </c>
      <c r="H174" s="54">
        <f t="shared" si="89"/>
        <v>9.1761363636363641E-2</v>
      </c>
      <c r="I174" s="55">
        <v>484.5</v>
      </c>
      <c r="J174" s="13">
        <f t="shared" si="90"/>
        <v>0</v>
      </c>
      <c r="K174" s="5"/>
      <c r="L174" s="64">
        <f t="shared" si="91"/>
        <v>0</v>
      </c>
      <c r="M174" s="65"/>
    </row>
    <row r="175" spans="1:13" x14ac:dyDescent="0.25">
      <c r="A175" s="14"/>
      <c r="B175" s="1" t="s">
        <v>63</v>
      </c>
      <c r="C175" s="1" t="s">
        <v>283</v>
      </c>
      <c r="D175" s="2"/>
      <c r="E175" s="3"/>
      <c r="F175" s="27"/>
      <c r="G175" s="28">
        <v>5269</v>
      </c>
      <c r="H175" s="54"/>
      <c r="I175" s="55"/>
      <c r="J175" s="2"/>
      <c r="K175" s="3"/>
      <c r="L175" s="64"/>
      <c r="M175" s="65"/>
    </row>
    <row r="176" spans="1:13" x14ac:dyDescent="0.25">
      <c r="A176" s="14" t="s">
        <v>287</v>
      </c>
      <c r="B176" s="1" t="s">
        <v>61</v>
      </c>
      <c r="C176" s="1" t="s">
        <v>205</v>
      </c>
      <c r="D176" s="13">
        <f>E176/5280</f>
        <v>5.5790151515151516</v>
      </c>
      <c r="E176" s="5">
        <v>29457.200000000001</v>
      </c>
      <c r="F176" s="27">
        <f>G176/5280</f>
        <v>9.2824621212121219</v>
      </c>
      <c r="G176" s="28">
        <f>42245.4+6766</f>
        <v>49011.4</v>
      </c>
      <c r="H176" s="54">
        <f>I176/5280</f>
        <v>0.64075757575757575</v>
      </c>
      <c r="I176" s="55">
        <v>3383.2</v>
      </c>
      <c r="J176" s="13">
        <f>K176/5280</f>
        <v>0</v>
      </c>
      <c r="K176" s="5"/>
      <c r="L176" s="64">
        <f>M176/5280</f>
        <v>0</v>
      </c>
      <c r="M176" s="65"/>
    </row>
    <row r="177" spans="1:13" ht="15.75" thickBot="1" x14ac:dyDescent="0.3">
      <c r="A177" s="25"/>
      <c r="B177" s="78"/>
      <c r="C177" s="79"/>
      <c r="D177" s="79"/>
      <c r="E177" s="79"/>
      <c r="F177" s="79"/>
      <c r="G177" s="79"/>
      <c r="H177" s="79"/>
      <c r="I177" s="79"/>
      <c r="J177" s="79"/>
      <c r="K177" s="79"/>
      <c r="L177" s="79"/>
      <c r="M177" s="80"/>
    </row>
    <row r="178" spans="1:13" ht="15.75" thickBot="1" x14ac:dyDescent="0.3">
      <c r="A178" s="7"/>
      <c r="B178" s="8"/>
      <c r="C178" s="9" t="s">
        <v>186</v>
      </c>
      <c r="D178" s="33">
        <f t="shared" ref="D178:M178" si="92">SUM(D5:D176)</f>
        <v>298.81533333333317</v>
      </c>
      <c r="E178" s="33">
        <f t="shared" si="92"/>
        <v>1577586.4999999998</v>
      </c>
      <c r="F178" s="73">
        <f t="shared" si="92"/>
        <v>435.95715909090916</v>
      </c>
      <c r="G178" s="73">
        <f t="shared" si="92"/>
        <v>2310614.0800000005</v>
      </c>
      <c r="H178" s="74">
        <f t="shared" si="92"/>
        <v>54.722803598484838</v>
      </c>
      <c r="I178" s="74">
        <f t="shared" si="92"/>
        <v>278851.8029999999</v>
      </c>
      <c r="J178" s="75">
        <f t="shared" si="92"/>
        <v>231.74932007575757</v>
      </c>
      <c r="K178" s="75">
        <f t="shared" si="92"/>
        <v>1223942.6100000001</v>
      </c>
      <c r="L178" s="76">
        <f t="shared" si="92"/>
        <v>6.7434090909090907</v>
      </c>
      <c r="M178" s="77">
        <f t="shared" si="92"/>
        <v>35605.199999999997</v>
      </c>
    </row>
    <row r="179" spans="1:13" ht="15.75" thickTop="1" x14ac:dyDescent="0.25"/>
    <row r="181" spans="1:13" x14ac:dyDescent="0.25">
      <c r="G181" s="11"/>
      <c r="I181" s="11"/>
      <c r="K181" s="11"/>
      <c r="M181" s="11"/>
    </row>
    <row r="182" spans="1:13" x14ac:dyDescent="0.25">
      <c r="E182" s="11"/>
      <c r="G182" s="11"/>
      <c r="I182" s="11"/>
    </row>
    <row r="184" spans="1:13" x14ac:dyDescent="0.25">
      <c r="G184" s="12"/>
      <c r="I184" s="11"/>
    </row>
    <row r="185" spans="1:13" x14ac:dyDescent="0.25">
      <c r="G185" s="11"/>
      <c r="I185" s="12"/>
      <c r="M185" s="11"/>
    </row>
    <row r="186" spans="1:13" x14ac:dyDescent="0.25">
      <c r="G186" s="11"/>
    </row>
    <row r="187" spans="1:13" x14ac:dyDescent="0.25">
      <c r="G187" s="11"/>
    </row>
  </sheetData>
  <mergeCells count="9">
    <mergeCell ref="B177:M177"/>
    <mergeCell ref="J1:K3"/>
    <mergeCell ref="L1:M3"/>
    <mergeCell ref="A1:A3"/>
    <mergeCell ref="B1:B3"/>
    <mergeCell ref="C1:C3"/>
    <mergeCell ref="D1:E3"/>
    <mergeCell ref="F1:G3"/>
    <mergeCell ref="H1:I3"/>
  </mergeCells>
  <phoneticPr fontId="3" type="noConversion"/>
  <pageMargins left="0.25" right="0.25" top="0.75" bottom="0.75" header="0.3" footer="0.3"/>
  <pageSetup scale="56" fitToHeight="0" orientation="landscape" r:id="rId1"/>
  <headerFooter>
    <oddHeader xml:space="preserve">&amp;C&amp;"-,Bold"&amp;14 2024 LINEAR PAVEMENT MARKINGS
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8E8C1-0116-41F2-A3A0-57ED54AC3C5E}">
  <sheetPr>
    <pageSetUpPr fitToPage="1"/>
  </sheetPr>
  <dimension ref="A1:BV148"/>
  <sheetViews>
    <sheetView zoomScale="85" zoomScaleNormal="85" zoomScalePageLayoutView="70" workbookViewId="0">
      <pane ySplit="3" topLeftCell="A99" activePane="bottomLeft" state="frozen"/>
      <selection pane="bottomLeft" activeCell="J90" sqref="J90"/>
    </sheetView>
  </sheetViews>
  <sheetFormatPr defaultRowHeight="15" x14ac:dyDescent="0.25"/>
  <cols>
    <col min="1" max="1" width="25.7109375" style="6" bestFit="1" customWidth="1"/>
    <col min="2" max="2" width="28.7109375" style="4" customWidth="1"/>
    <col min="3" max="3" width="70.7109375" style="4" customWidth="1"/>
    <col min="4" max="4" width="13.28515625" style="4" hidden="1" customWidth="1"/>
    <col min="5" max="5" width="2.28515625" style="4" hidden="1" customWidth="1"/>
    <col min="6" max="6" width="14.28515625" style="4" customWidth="1"/>
    <col min="7" max="7" width="13.28515625" style="4" bestFit="1" customWidth="1"/>
    <col min="8" max="8" width="14.5703125" style="4" customWidth="1"/>
    <col min="9" max="9" width="16.85546875" style="4" customWidth="1"/>
    <col min="10" max="10" width="14.42578125" style="4" customWidth="1"/>
    <col min="11" max="11" width="13.28515625" style="4" bestFit="1" customWidth="1"/>
    <col min="12" max="12" width="15.140625" style="4" customWidth="1"/>
    <col min="13" max="13" width="12.85546875" style="4" customWidth="1"/>
    <col min="14" max="14" width="5.140625" customWidth="1"/>
    <col min="16" max="16" width="10.5703125" bestFit="1" customWidth="1"/>
    <col min="17" max="17" width="17.7109375" bestFit="1" customWidth="1"/>
    <col min="18" max="18" width="11.5703125" bestFit="1" customWidth="1"/>
    <col min="19" max="19" width="10.5703125" bestFit="1" customWidth="1"/>
    <col min="20" max="20" width="10.7109375" customWidth="1"/>
    <col min="21" max="21" width="9.28515625" bestFit="1" customWidth="1"/>
  </cols>
  <sheetData>
    <row r="1" spans="1:13" ht="15.75" thickTop="1" x14ac:dyDescent="0.25">
      <c r="A1" s="93" t="s">
        <v>143</v>
      </c>
      <c r="B1" s="96" t="s">
        <v>0</v>
      </c>
      <c r="C1" s="96" t="s">
        <v>140</v>
      </c>
      <c r="D1" s="81" t="s">
        <v>1</v>
      </c>
      <c r="E1" s="82"/>
      <c r="F1" s="99" t="s">
        <v>2</v>
      </c>
      <c r="G1" s="100"/>
      <c r="H1" s="105" t="s">
        <v>234</v>
      </c>
      <c r="I1" s="106"/>
      <c r="J1" s="81" t="s">
        <v>3</v>
      </c>
      <c r="K1" s="82"/>
      <c r="L1" s="87" t="s">
        <v>4</v>
      </c>
      <c r="M1" s="88"/>
    </row>
    <row r="2" spans="1:13" ht="7.15" customHeight="1" x14ac:dyDescent="0.25">
      <c r="A2" s="94"/>
      <c r="B2" s="97"/>
      <c r="C2" s="97"/>
      <c r="D2" s="83"/>
      <c r="E2" s="84"/>
      <c r="F2" s="101"/>
      <c r="G2" s="102"/>
      <c r="H2" s="107"/>
      <c r="I2" s="108"/>
      <c r="J2" s="83"/>
      <c r="K2" s="84"/>
      <c r="L2" s="89"/>
      <c r="M2" s="90"/>
    </row>
    <row r="3" spans="1:13" ht="30.6" customHeight="1" thickBot="1" x14ac:dyDescent="0.3">
      <c r="A3" s="95"/>
      <c r="B3" s="98"/>
      <c r="C3" s="98"/>
      <c r="D3" s="85"/>
      <c r="E3" s="86"/>
      <c r="F3" s="103"/>
      <c r="G3" s="104"/>
      <c r="H3" s="109"/>
      <c r="I3" s="110"/>
      <c r="J3" s="85"/>
      <c r="K3" s="86"/>
      <c r="L3" s="91"/>
      <c r="M3" s="92"/>
    </row>
    <row r="4" spans="1:13" ht="17.25" customHeight="1" thickBot="1" x14ac:dyDescent="0.3">
      <c r="A4" s="15" t="s">
        <v>144</v>
      </c>
      <c r="B4" s="24" t="s">
        <v>139</v>
      </c>
      <c r="C4" s="24" t="s">
        <v>140</v>
      </c>
      <c r="D4" s="20" t="s">
        <v>141</v>
      </c>
      <c r="E4" s="21" t="s">
        <v>142</v>
      </c>
      <c r="F4" s="18" t="s">
        <v>207</v>
      </c>
      <c r="G4" s="19" t="s">
        <v>208</v>
      </c>
      <c r="H4" s="16" t="s">
        <v>209</v>
      </c>
      <c r="I4" s="17" t="s">
        <v>210</v>
      </c>
      <c r="J4" s="20" t="s">
        <v>211</v>
      </c>
      <c r="K4" s="21" t="s">
        <v>212</v>
      </c>
      <c r="L4" s="22" t="s">
        <v>213</v>
      </c>
      <c r="M4" s="23" t="s">
        <v>214</v>
      </c>
    </row>
    <row r="5" spans="1:13" ht="17.25" customHeight="1" thickBot="1" x14ac:dyDescent="0.3">
      <c r="A5" s="26" t="s">
        <v>215</v>
      </c>
      <c r="B5" s="26"/>
      <c r="C5" s="26"/>
      <c r="D5" s="34"/>
      <c r="E5" s="35"/>
      <c r="F5" s="45"/>
      <c r="G5" s="46"/>
      <c r="H5" s="52"/>
      <c r="I5" s="53"/>
      <c r="J5" s="34"/>
      <c r="K5" s="35"/>
      <c r="L5" s="62"/>
      <c r="M5" s="63"/>
    </row>
    <row r="6" spans="1:13" x14ac:dyDescent="0.25">
      <c r="A6" s="14"/>
      <c r="B6" s="36" t="s">
        <v>17</v>
      </c>
      <c r="C6" s="1" t="s">
        <v>18</v>
      </c>
      <c r="D6" s="13">
        <f>4.136-1.925</f>
        <v>2.2110000000000003</v>
      </c>
      <c r="E6" s="5">
        <f>D6*5280</f>
        <v>11674.080000000002</v>
      </c>
      <c r="F6" s="27">
        <f>5.61-1.457</f>
        <v>4.1530000000000005</v>
      </c>
      <c r="G6" s="28">
        <f>F6*5280</f>
        <v>21927.840000000004</v>
      </c>
      <c r="H6" s="54">
        <f>0.22</f>
        <v>0.22</v>
      </c>
      <c r="I6" s="55">
        <f>H6*5280</f>
        <v>1161.5999999999999</v>
      </c>
      <c r="J6" s="13">
        <v>4.26</v>
      </c>
      <c r="K6" s="5">
        <f>J6*5280</f>
        <v>22492.799999999999</v>
      </c>
      <c r="L6" s="64">
        <f>M6/5280</f>
        <v>0</v>
      </c>
      <c r="M6" s="65"/>
    </row>
    <row r="7" spans="1:13" x14ac:dyDescent="0.25">
      <c r="A7" s="14"/>
      <c r="B7" s="36" t="s">
        <v>146</v>
      </c>
      <c r="C7" s="1" t="s">
        <v>235</v>
      </c>
      <c r="D7" s="13">
        <f>Table42[[#This Row],[FEET]]/5280</f>
        <v>1.06</v>
      </c>
      <c r="E7" s="5">
        <f>1.06*5280</f>
        <v>5596.8</v>
      </c>
      <c r="F7" s="27">
        <f>Table42[[#This Row],[FEET7]]/5280</f>
        <v>2.12</v>
      </c>
      <c r="G7" s="28">
        <v>8634</v>
      </c>
      <c r="H7" s="54">
        <f>Table42[[#This Row],[FEET7]]/5280</f>
        <v>2.12</v>
      </c>
      <c r="I7" s="55">
        <v>509</v>
      </c>
      <c r="J7" s="13">
        <f>Table42[[#This Row],[FEET7]]/5280</f>
        <v>2.12</v>
      </c>
      <c r="K7" s="5">
        <f>Table42[[#This Row],[FEET]]*2</f>
        <v>11193.6</v>
      </c>
      <c r="L7" s="64"/>
      <c r="M7" s="65"/>
    </row>
    <row r="8" spans="1:13" x14ac:dyDescent="0.25">
      <c r="A8" s="14" t="s">
        <v>253</v>
      </c>
      <c r="B8" s="36" t="s">
        <v>199</v>
      </c>
      <c r="C8" s="1" t="s">
        <v>236</v>
      </c>
      <c r="D8" s="13">
        <f>E8/5280</f>
        <v>3.0589393939393936</v>
      </c>
      <c r="E8" s="5">
        <v>16151.199999999999</v>
      </c>
      <c r="F8" s="27">
        <f t="shared" ref="F8:F19" si="0">G8/5280</f>
        <v>4.4489015151515154</v>
      </c>
      <c r="G8" s="28">
        <v>23490.2</v>
      </c>
      <c r="H8" s="54">
        <f>I8/5280</f>
        <v>0.24577651515151516</v>
      </c>
      <c r="I8" s="55">
        <v>1297.7</v>
      </c>
      <c r="J8" s="13">
        <f>K8/5280</f>
        <v>6.1998863636363639</v>
      </c>
      <c r="K8" s="5">
        <v>32735.4</v>
      </c>
      <c r="L8" s="64">
        <f>M8/5280</f>
        <v>0</v>
      </c>
      <c r="M8" s="65">
        <v>0</v>
      </c>
    </row>
    <row r="9" spans="1:13" x14ac:dyDescent="0.25">
      <c r="A9" s="14"/>
      <c r="B9" s="36" t="s">
        <v>201</v>
      </c>
      <c r="C9" s="1" t="s">
        <v>222</v>
      </c>
      <c r="D9" s="13">
        <v>2.532</v>
      </c>
      <c r="E9" s="5">
        <v>13210.5</v>
      </c>
      <c r="F9" s="27">
        <f t="shared" si="0"/>
        <v>2.2496401515151514</v>
      </c>
      <c r="G9" s="28">
        <f>9678.1+2200</f>
        <v>11878.1</v>
      </c>
      <c r="H9" s="54">
        <f>I9/5280</f>
        <v>0.45928030303030304</v>
      </c>
      <c r="I9" s="55">
        <v>2425</v>
      </c>
      <c r="J9" s="13">
        <f>K9/5280</f>
        <v>5.1049621212121217</v>
      </c>
      <c r="K9" s="5">
        <v>26954.2</v>
      </c>
      <c r="L9" s="64">
        <f>M9/5280</f>
        <v>0</v>
      </c>
      <c r="M9" s="65"/>
    </row>
    <row r="10" spans="1:13" x14ac:dyDescent="0.25">
      <c r="A10" s="14"/>
      <c r="B10" s="36" t="s">
        <v>191</v>
      </c>
      <c r="C10" s="1" t="s">
        <v>145</v>
      </c>
      <c r="D10" s="13">
        <f t="shared" ref="D10:D18" si="1">E10/5280</f>
        <v>1.8830113636363635</v>
      </c>
      <c r="E10" s="5">
        <v>9942.2999999999993</v>
      </c>
      <c r="F10" s="27">
        <f t="shared" si="0"/>
        <v>3.3650189393939391</v>
      </c>
      <c r="G10" s="28">
        <v>17767.3</v>
      </c>
      <c r="H10" s="54">
        <f>I10/5280</f>
        <v>0.10024621212121211</v>
      </c>
      <c r="I10" s="55">
        <v>529.29999999999995</v>
      </c>
      <c r="J10" s="13">
        <f>K10/5280</f>
        <v>0</v>
      </c>
      <c r="K10" s="5"/>
      <c r="L10" s="64">
        <f>M10/5280</f>
        <v>0</v>
      </c>
      <c r="M10" s="65"/>
    </row>
    <row r="11" spans="1:13" x14ac:dyDescent="0.25">
      <c r="A11" s="14"/>
      <c r="B11" s="36" t="s">
        <v>10</v>
      </c>
      <c r="C11" s="1" t="s">
        <v>9</v>
      </c>
      <c r="D11" s="13">
        <f t="shared" si="1"/>
        <v>0.67500000000000004</v>
      </c>
      <c r="E11" s="5">
        <v>3564</v>
      </c>
      <c r="F11" s="27">
        <f t="shared" si="0"/>
        <v>2.6886363636363635</v>
      </c>
      <c r="G11" s="28">
        <f>7128+7068</f>
        <v>14196</v>
      </c>
      <c r="H11" s="54">
        <f t="shared" ref="H11:H12" si="2">I11/5280</f>
        <v>0</v>
      </c>
      <c r="I11" s="55"/>
      <c r="J11" s="13">
        <f t="shared" ref="J11:J12" si="3">K11/5280</f>
        <v>0</v>
      </c>
      <c r="K11" s="5"/>
      <c r="L11" s="64">
        <f t="shared" ref="L11:L12" si="4">M11/5280</f>
        <v>4.3996212121212123E-2</v>
      </c>
      <c r="M11" s="65">
        <v>232.3</v>
      </c>
    </row>
    <row r="12" spans="1:13" x14ac:dyDescent="0.25">
      <c r="A12" s="14"/>
      <c r="B12" s="36" t="s">
        <v>14</v>
      </c>
      <c r="C12" s="1" t="s">
        <v>15</v>
      </c>
      <c r="D12" s="13">
        <f t="shared" si="1"/>
        <v>0.57198863636363639</v>
      </c>
      <c r="E12" s="5">
        <v>3020.1</v>
      </c>
      <c r="F12" s="27">
        <f t="shared" si="0"/>
        <v>0.43397727272727277</v>
      </c>
      <c r="G12" s="28">
        <v>2291.4</v>
      </c>
      <c r="H12" s="54">
        <f t="shared" si="2"/>
        <v>0.1115340909090909</v>
      </c>
      <c r="I12" s="55">
        <v>588.9</v>
      </c>
      <c r="J12" s="13">
        <f t="shared" si="3"/>
        <v>0.1115340909090909</v>
      </c>
      <c r="K12" s="5">
        <v>588.9</v>
      </c>
      <c r="L12" s="64">
        <f t="shared" si="4"/>
        <v>0</v>
      </c>
      <c r="M12" s="65"/>
    </row>
    <row r="13" spans="1:13" x14ac:dyDescent="0.25">
      <c r="A13" s="14"/>
      <c r="B13" s="36" t="s">
        <v>11</v>
      </c>
      <c r="C13" s="1" t="s">
        <v>12</v>
      </c>
      <c r="D13" s="13">
        <f t="shared" si="1"/>
        <v>1.0219886363636363</v>
      </c>
      <c r="E13" s="5">
        <v>5396.1</v>
      </c>
      <c r="F13" s="27">
        <f t="shared" si="0"/>
        <v>1.3589772727272726</v>
      </c>
      <c r="G13" s="28">
        <v>7175.4</v>
      </c>
      <c r="H13" s="54">
        <f>I13/5280</f>
        <v>0.11100378787878788</v>
      </c>
      <c r="I13" s="55">
        <v>586.1</v>
      </c>
      <c r="J13" s="13">
        <f>K13/5280</f>
        <v>2.0709848484848483</v>
      </c>
      <c r="K13" s="5">
        <v>10934.8</v>
      </c>
      <c r="L13" s="64">
        <f>M13/5280</f>
        <v>0</v>
      </c>
      <c r="M13" s="65"/>
    </row>
    <row r="14" spans="1:13" x14ac:dyDescent="0.25">
      <c r="A14" s="14"/>
      <c r="B14" s="36" t="s">
        <v>11</v>
      </c>
      <c r="C14" s="1" t="s">
        <v>13</v>
      </c>
      <c r="D14" s="13">
        <f t="shared" si="1"/>
        <v>0.155</v>
      </c>
      <c r="E14" s="5">
        <v>818.4</v>
      </c>
      <c r="F14" s="27">
        <f t="shared" si="0"/>
        <v>0.31</v>
      </c>
      <c r="G14" s="28">
        <v>1636.8</v>
      </c>
      <c r="H14" s="54">
        <f>I14/5280</f>
        <v>0</v>
      </c>
      <c r="I14" s="55">
        <v>0</v>
      </c>
      <c r="J14" s="13">
        <f>K14/5280</f>
        <v>0.31</v>
      </c>
      <c r="K14" s="5">
        <v>1636.8</v>
      </c>
      <c r="L14" s="64">
        <f>M14/5280</f>
        <v>0</v>
      </c>
      <c r="M14" s="65"/>
    </row>
    <row r="15" spans="1:13" x14ac:dyDescent="0.25">
      <c r="A15" s="14" t="s">
        <v>252</v>
      </c>
      <c r="B15" s="36" t="s">
        <v>16</v>
      </c>
      <c r="C15" s="1" t="s">
        <v>148</v>
      </c>
      <c r="D15" s="13">
        <f t="shared" si="1"/>
        <v>5.4910227272727266</v>
      </c>
      <c r="E15" s="5">
        <v>28992.6</v>
      </c>
      <c r="F15" s="27">
        <f t="shared" si="0"/>
        <v>10.145833333333334</v>
      </c>
      <c r="G15" s="28">
        <f>46992+6578</f>
        <v>53570</v>
      </c>
      <c r="H15" s="54">
        <f>I15/5280</f>
        <v>0.47731060606060605</v>
      </c>
      <c r="I15" s="55">
        <f>514.2+2006</f>
        <v>2520.1999999999998</v>
      </c>
      <c r="J15" s="13">
        <f>K15/5280</f>
        <v>8.3414962121212124</v>
      </c>
      <c r="K15" s="5">
        <f>27778.1+16265</f>
        <v>44043.1</v>
      </c>
      <c r="L15" s="64">
        <f>M15/5280</f>
        <v>0</v>
      </c>
      <c r="M15" s="65"/>
    </row>
    <row r="16" spans="1:13" x14ac:dyDescent="0.25">
      <c r="A16" s="14"/>
      <c r="B16" s="36" t="s">
        <v>103</v>
      </c>
      <c r="C16" s="1" t="s">
        <v>206</v>
      </c>
      <c r="D16" s="13">
        <f t="shared" si="1"/>
        <v>3.0117424242424242</v>
      </c>
      <c r="E16" s="5">
        <v>15902</v>
      </c>
      <c r="F16" s="27">
        <f t="shared" si="0"/>
        <v>3.0857954545454547</v>
      </c>
      <c r="G16" s="28">
        <v>16293</v>
      </c>
      <c r="H16" s="54"/>
      <c r="I16" s="55"/>
      <c r="J16" s="13"/>
      <c r="K16" s="5"/>
      <c r="L16" s="64"/>
      <c r="M16" s="65"/>
    </row>
    <row r="17" spans="1:13" x14ac:dyDescent="0.25">
      <c r="A17" s="14" t="s">
        <v>253</v>
      </c>
      <c r="B17" s="1" t="s">
        <v>198</v>
      </c>
      <c r="C17" s="1" t="s">
        <v>57</v>
      </c>
      <c r="D17" s="13">
        <f>E17/5280</f>
        <v>1.4478446969696972</v>
      </c>
      <c r="E17" s="5">
        <f>5264.3+2380.32</f>
        <v>7644.6200000000008</v>
      </c>
      <c r="F17" s="27">
        <f>G17/5280</f>
        <v>3.7980378787878788</v>
      </c>
      <c r="G17" s="28">
        <f>9293+10760.64</f>
        <v>20053.64</v>
      </c>
      <c r="H17" s="54">
        <f>I17/5280</f>
        <v>2.5730681818181815</v>
      </c>
      <c r="I17" s="55">
        <v>13585.8</v>
      </c>
      <c r="J17" s="13">
        <f>K17/5280</f>
        <v>4.0759999999999996</v>
      </c>
      <c r="K17" s="5">
        <f>10760.64*2</f>
        <v>21521.279999999999</v>
      </c>
      <c r="L17" s="64">
        <f>M17/5280</f>
        <v>0</v>
      </c>
      <c r="M17" s="65"/>
    </row>
    <row r="18" spans="1:13" x14ac:dyDescent="0.25">
      <c r="A18" s="14"/>
      <c r="B18" s="36" t="s">
        <v>200</v>
      </c>
      <c r="C18" s="1" t="s">
        <v>231</v>
      </c>
      <c r="D18" s="13">
        <f t="shared" si="1"/>
        <v>3.0500189393939396</v>
      </c>
      <c r="E18" s="5">
        <v>16104.1</v>
      </c>
      <c r="F18" s="27">
        <f t="shared" si="0"/>
        <v>2.3070265151515152</v>
      </c>
      <c r="G18" s="28">
        <v>12181.1</v>
      </c>
      <c r="H18" s="54">
        <f>I18/5280</f>
        <v>0.54901515151515157</v>
      </c>
      <c r="I18" s="55">
        <v>2898.8</v>
      </c>
      <c r="J18" s="13">
        <f>K18/5280</f>
        <v>6.3420643939393937</v>
      </c>
      <c r="K18" s="5">
        <v>33486.1</v>
      </c>
      <c r="L18" s="64">
        <f>M18/5280</f>
        <v>0</v>
      </c>
      <c r="M18" s="65"/>
    </row>
    <row r="19" spans="1:13" ht="15.75" thickBot="1" x14ac:dyDescent="0.3">
      <c r="A19" s="14"/>
      <c r="B19" s="1" t="s">
        <v>255</v>
      </c>
      <c r="C19" s="1" t="s">
        <v>256</v>
      </c>
      <c r="D19" s="13"/>
      <c r="E19" s="5"/>
      <c r="F19" s="27">
        <f t="shared" si="0"/>
        <v>0.21553030303030302</v>
      </c>
      <c r="G19" s="28">
        <f>569*2</f>
        <v>1138</v>
      </c>
      <c r="H19" s="54"/>
      <c r="I19" s="55"/>
      <c r="J19" s="13"/>
      <c r="K19" s="5"/>
      <c r="L19" s="64"/>
      <c r="M19" s="65"/>
    </row>
    <row r="20" spans="1:13" ht="15.75" thickBot="1" x14ac:dyDescent="0.3">
      <c r="A20" s="26" t="s">
        <v>5</v>
      </c>
      <c r="B20" s="26"/>
      <c r="C20" s="26"/>
      <c r="D20" s="34"/>
      <c r="E20" s="35"/>
      <c r="F20" s="45"/>
      <c r="G20" s="46"/>
      <c r="H20" s="52"/>
      <c r="I20" s="53"/>
      <c r="J20" s="34"/>
      <c r="K20" s="35"/>
      <c r="L20" s="62"/>
      <c r="M20" s="63"/>
    </row>
    <row r="21" spans="1:13" ht="17.25" customHeight="1" x14ac:dyDescent="0.25">
      <c r="A21" s="14" t="s">
        <v>250</v>
      </c>
      <c r="B21" s="1" t="s">
        <v>41</v>
      </c>
      <c r="C21" s="1" t="s">
        <v>149</v>
      </c>
      <c r="D21" s="13">
        <f t="shared" ref="D21:D23" si="5">E21/5280</f>
        <v>7.2329924242424237</v>
      </c>
      <c r="E21" s="5">
        <v>38190.199999999997</v>
      </c>
      <c r="F21" s="27">
        <f t="shared" ref="F21:F24" si="6">G21/5280</f>
        <v>9.6660037878787879</v>
      </c>
      <c r="G21" s="28">
        <v>51036.5</v>
      </c>
      <c r="H21" s="54">
        <f t="shared" ref="H21:H23" si="7">I21/5280</f>
        <v>0.85178030303030294</v>
      </c>
      <c r="I21" s="55">
        <v>4497.3999999999996</v>
      </c>
      <c r="J21" s="13">
        <f t="shared" ref="J21:J23" si="8">K21/5280</f>
        <v>0</v>
      </c>
      <c r="K21" s="5"/>
      <c r="L21" s="64">
        <f t="shared" ref="L21:L23" si="9">M21/5280</f>
        <v>0</v>
      </c>
      <c r="M21" s="65"/>
    </row>
    <row r="22" spans="1:13" ht="17.25" customHeight="1" x14ac:dyDescent="0.25">
      <c r="B22" s="1" t="s">
        <v>47</v>
      </c>
      <c r="C22" s="1" t="s">
        <v>228</v>
      </c>
      <c r="D22" s="13">
        <f t="shared" si="5"/>
        <v>3.9599621212121208</v>
      </c>
      <c r="E22" s="5">
        <v>20908.599999999999</v>
      </c>
      <c r="F22" s="47">
        <f t="shared" si="6"/>
        <v>3.2499621212121212</v>
      </c>
      <c r="G22" s="47">
        <v>17159.8</v>
      </c>
      <c r="H22" s="54">
        <f t="shared" si="7"/>
        <v>0.86399621212121203</v>
      </c>
      <c r="I22" s="56">
        <v>4561.8999999999996</v>
      </c>
      <c r="J22" s="13">
        <f t="shared" si="8"/>
        <v>0.10799242424242425</v>
      </c>
      <c r="K22" s="31">
        <v>570.20000000000005</v>
      </c>
      <c r="L22" s="64">
        <f t="shared" si="9"/>
        <v>0</v>
      </c>
      <c r="M22" s="65"/>
    </row>
    <row r="23" spans="1:13" ht="17.25" customHeight="1" x14ac:dyDescent="0.25">
      <c r="A23" s="14"/>
      <c r="B23" s="1" t="s">
        <v>48</v>
      </c>
      <c r="C23" s="1" t="s">
        <v>229</v>
      </c>
      <c r="D23" s="13">
        <f t="shared" si="5"/>
        <v>0.81299242424242435</v>
      </c>
      <c r="E23" s="5">
        <v>4292.6000000000004</v>
      </c>
      <c r="F23" s="27">
        <f t="shared" si="6"/>
        <v>0.49998106060606062</v>
      </c>
      <c r="G23" s="28">
        <v>2639.9</v>
      </c>
      <c r="H23" s="54">
        <f t="shared" si="7"/>
        <v>0.18100378787878788</v>
      </c>
      <c r="I23" s="55">
        <v>955.7</v>
      </c>
      <c r="J23" s="13">
        <f t="shared" si="8"/>
        <v>0</v>
      </c>
      <c r="K23" s="5"/>
      <c r="L23" s="64">
        <f t="shared" si="9"/>
        <v>0</v>
      </c>
      <c r="M23" s="65"/>
    </row>
    <row r="24" spans="1:13" ht="17.25" customHeight="1" thickBot="1" x14ac:dyDescent="0.3">
      <c r="A24" s="14"/>
      <c r="B24" s="1" t="s">
        <v>118</v>
      </c>
      <c r="C24" s="1" t="s">
        <v>203</v>
      </c>
      <c r="D24" s="13"/>
      <c r="E24" s="5"/>
      <c r="F24" s="27">
        <f t="shared" si="6"/>
        <v>0.50681818181818183</v>
      </c>
      <c r="G24" s="28">
        <f>1338*2</f>
        <v>2676</v>
      </c>
      <c r="H24" s="54"/>
      <c r="I24" s="55"/>
      <c r="J24" s="13"/>
      <c r="K24" s="5"/>
      <c r="L24" s="64"/>
      <c r="M24" s="65"/>
    </row>
    <row r="25" spans="1:13" ht="15.75" thickBot="1" x14ac:dyDescent="0.3">
      <c r="A25" s="26" t="s">
        <v>216</v>
      </c>
      <c r="B25" s="26"/>
      <c r="C25" s="26"/>
      <c r="D25" s="34"/>
      <c r="E25" s="35"/>
      <c r="F25" s="45"/>
      <c r="G25" s="46"/>
      <c r="H25" s="52"/>
      <c r="I25" s="53"/>
      <c r="J25" s="34"/>
      <c r="K25" s="35"/>
      <c r="L25" s="62"/>
      <c r="M25" s="63"/>
    </row>
    <row r="26" spans="1:13" x14ac:dyDescent="0.25">
      <c r="A26" s="14"/>
      <c r="B26" s="1" t="s">
        <v>193</v>
      </c>
      <c r="C26" s="1" t="s">
        <v>60</v>
      </c>
      <c r="D26" s="13">
        <f t="shared" ref="D26:D30" si="10">E26/5280</f>
        <v>3.0239734848484847</v>
      </c>
      <c r="E26" s="5">
        <f>10654.9+5311.68</f>
        <v>15966.58</v>
      </c>
      <c r="F26" s="27">
        <f t="shared" ref="F26:F31" si="11">G26/5280</f>
        <v>2.4879886363636365</v>
      </c>
      <c r="G26" s="28">
        <f>10781.7+2354.88</f>
        <v>13136.580000000002</v>
      </c>
      <c r="H26" s="54">
        <f t="shared" ref="H26:H27" si="12">I26/5280</f>
        <v>0.54851893939393948</v>
      </c>
      <c r="I26" s="55">
        <f>1630.3+1265.88</f>
        <v>2896.1800000000003</v>
      </c>
      <c r="J26" s="13">
        <f>K26/5280</f>
        <v>1.897348484848485</v>
      </c>
      <c r="K26" s="5">
        <v>10018</v>
      </c>
      <c r="L26" s="64">
        <f>M26/5280</f>
        <v>0</v>
      </c>
      <c r="M26" s="65"/>
    </row>
    <row r="27" spans="1:13" ht="17.25" customHeight="1" x14ac:dyDescent="0.25">
      <c r="A27" s="14"/>
      <c r="B27" s="1" t="s">
        <v>257</v>
      </c>
      <c r="C27" s="1" t="s">
        <v>258</v>
      </c>
      <c r="D27" s="13"/>
      <c r="E27" s="5"/>
      <c r="F27" s="27">
        <f t="shared" si="11"/>
        <v>0.96136363636363631</v>
      </c>
      <c r="G27" s="28">
        <v>5076</v>
      </c>
      <c r="H27" s="54">
        <f t="shared" si="12"/>
        <v>0.19128787878787878</v>
      </c>
      <c r="I27" s="55">
        <v>1010</v>
      </c>
      <c r="J27" s="13"/>
      <c r="K27" s="5"/>
      <c r="L27" s="64"/>
      <c r="M27" s="65"/>
    </row>
    <row r="28" spans="1:13" x14ac:dyDescent="0.25">
      <c r="A28" s="14"/>
      <c r="B28" s="1" t="s">
        <v>197</v>
      </c>
      <c r="C28" s="1" t="s">
        <v>58</v>
      </c>
      <c r="D28" s="13">
        <f t="shared" si="10"/>
        <v>1.8990340909090908</v>
      </c>
      <c r="E28" s="5">
        <f>3975.9+6051</f>
        <v>10026.9</v>
      </c>
      <c r="F28" s="27">
        <f t="shared" si="11"/>
        <v>1.454034090909091</v>
      </c>
      <c r="G28" s="28">
        <f>4620.1+3057.2</f>
        <v>7677.3</v>
      </c>
      <c r="H28" s="54">
        <f>I28/5280</f>
        <v>0.43446969696969695</v>
      </c>
      <c r="I28" s="55">
        <f>579.5+414.5+1300</f>
        <v>2294</v>
      </c>
      <c r="J28" s="13">
        <f>K28/5280</f>
        <v>4.0407196969696972</v>
      </c>
      <c r="K28" s="5">
        <v>21335</v>
      </c>
      <c r="L28" s="64">
        <f>M28/5280</f>
        <v>0</v>
      </c>
      <c r="M28" s="65"/>
    </row>
    <row r="29" spans="1:13" x14ac:dyDescent="0.25">
      <c r="A29" s="14"/>
      <c r="B29" s="1" t="s">
        <v>191</v>
      </c>
      <c r="C29" s="1" t="s">
        <v>225</v>
      </c>
      <c r="D29" s="13">
        <f t="shared" si="10"/>
        <v>1.361003787878788</v>
      </c>
      <c r="E29" s="5">
        <v>7186.1</v>
      </c>
      <c r="F29" s="27">
        <f t="shared" si="11"/>
        <v>1.6840151515151516</v>
      </c>
      <c r="G29" s="28">
        <v>8891.6</v>
      </c>
      <c r="H29" s="54">
        <f>I29/5280</f>
        <v>0.14551136363636363</v>
      </c>
      <c r="I29" s="55">
        <v>768.3</v>
      </c>
      <c r="J29" s="13"/>
      <c r="K29" s="5"/>
      <c r="L29" s="64"/>
      <c r="M29" s="65"/>
    </row>
    <row r="30" spans="1:13" x14ac:dyDescent="0.25">
      <c r="A30" s="14"/>
      <c r="B30" s="1" t="s">
        <v>191</v>
      </c>
      <c r="C30" s="1" t="s">
        <v>153</v>
      </c>
      <c r="D30" s="13">
        <f t="shared" si="10"/>
        <v>0.29498106060606061</v>
      </c>
      <c r="E30" s="5">
        <v>1557.5</v>
      </c>
      <c r="F30" s="27">
        <f t="shared" si="11"/>
        <v>0.17698863636363638</v>
      </c>
      <c r="G30" s="28">
        <v>934.5</v>
      </c>
      <c r="H30" s="54">
        <f>I30/5280</f>
        <v>7.3749999999999996E-2</v>
      </c>
      <c r="I30" s="55">
        <v>389.4</v>
      </c>
      <c r="J30" s="13">
        <f>K30/5280</f>
        <v>0</v>
      </c>
      <c r="K30" s="5"/>
      <c r="L30" s="64">
        <f>M30/5280</f>
        <v>0</v>
      </c>
      <c r="M30" s="65"/>
    </row>
    <row r="31" spans="1:13" x14ac:dyDescent="0.25">
      <c r="A31" s="14"/>
      <c r="B31" s="1" t="s">
        <v>191</v>
      </c>
      <c r="C31" s="1" t="s">
        <v>152</v>
      </c>
      <c r="D31" s="13"/>
      <c r="E31" s="5"/>
      <c r="F31" s="27">
        <f t="shared" si="11"/>
        <v>0.37598484848484848</v>
      </c>
      <c r="G31" s="28">
        <v>1985.2</v>
      </c>
      <c r="H31" s="54">
        <f t="shared" ref="H31" si="13">I31/5280</f>
        <v>0</v>
      </c>
      <c r="I31" s="55"/>
      <c r="J31" s="13">
        <f t="shared" ref="J31" si="14">K31/5280</f>
        <v>3.299242424242424E-2</v>
      </c>
      <c r="K31" s="5">
        <v>174.2</v>
      </c>
      <c r="L31" s="64">
        <f t="shared" ref="L31" si="15">M31/5280</f>
        <v>0</v>
      </c>
      <c r="M31" s="66"/>
    </row>
    <row r="32" spans="1:13" x14ac:dyDescent="0.25">
      <c r="A32" s="14"/>
      <c r="B32" s="1" t="s">
        <v>190</v>
      </c>
      <c r="C32" s="1" t="s">
        <v>73</v>
      </c>
      <c r="D32" s="13">
        <f t="shared" ref="D32:D34" si="16">E32/5280</f>
        <v>2.7239962121212122</v>
      </c>
      <c r="E32" s="5">
        <v>14382.7</v>
      </c>
      <c r="F32" s="27">
        <f t="shared" ref="F32:F34" si="17">G32/5280</f>
        <v>2.8879924242424244</v>
      </c>
      <c r="G32" s="28">
        <v>15248.6</v>
      </c>
      <c r="H32" s="54">
        <f t="shared" ref="H32:H34" si="18">I32/5280</f>
        <v>0.45553030303030301</v>
      </c>
      <c r="I32" s="55">
        <v>2405.1999999999998</v>
      </c>
      <c r="J32" s="13">
        <f t="shared" ref="J32:J34" si="19">K32/5280</f>
        <v>4.6939772727272731</v>
      </c>
      <c r="K32" s="5">
        <v>24784.2</v>
      </c>
      <c r="L32" s="64"/>
      <c r="M32" s="65"/>
    </row>
    <row r="33" spans="1:18" x14ac:dyDescent="0.25">
      <c r="A33" s="14"/>
      <c r="B33" s="1" t="s">
        <v>195</v>
      </c>
      <c r="C33" s="1" t="s">
        <v>70</v>
      </c>
      <c r="D33" s="13">
        <f t="shared" si="16"/>
        <v>1.9989772727272728</v>
      </c>
      <c r="E33" s="5">
        <v>10554.6</v>
      </c>
      <c r="F33" s="27">
        <f t="shared" si="17"/>
        <v>3.7179545454545453</v>
      </c>
      <c r="G33" s="28">
        <v>19630.8</v>
      </c>
      <c r="H33" s="54">
        <f t="shared" si="18"/>
        <v>0</v>
      </c>
      <c r="I33" s="55"/>
      <c r="J33" s="13">
        <f t="shared" si="19"/>
        <v>4.2009469696969699</v>
      </c>
      <c r="K33" s="5">
        <v>22181</v>
      </c>
      <c r="L33" s="64"/>
      <c r="M33" s="65"/>
    </row>
    <row r="34" spans="1:18" x14ac:dyDescent="0.25">
      <c r="A34" s="14"/>
      <c r="B34" s="1" t="s">
        <v>196</v>
      </c>
      <c r="C34" s="1" t="s">
        <v>62</v>
      </c>
      <c r="D34" s="13">
        <f t="shared" si="16"/>
        <v>0.85</v>
      </c>
      <c r="E34" s="5">
        <v>4488</v>
      </c>
      <c r="F34" s="27">
        <f t="shared" si="17"/>
        <v>0.54698863636363637</v>
      </c>
      <c r="G34" s="28">
        <v>2888.1</v>
      </c>
      <c r="H34" s="54">
        <f t="shared" si="18"/>
        <v>0.18649621212121212</v>
      </c>
      <c r="I34" s="55">
        <v>984.7</v>
      </c>
      <c r="J34" s="13">
        <f t="shared" si="19"/>
        <v>0</v>
      </c>
      <c r="K34" s="5"/>
      <c r="L34" s="64">
        <f t="shared" ref="L34" si="20">M34/5280</f>
        <v>0</v>
      </c>
      <c r="M34" s="65"/>
    </row>
    <row r="35" spans="1:18" x14ac:dyDescent="0.25">
      <c r="A35" s="14"/>
      <c r="B35" s="1" t="s">
        <v>65</v>
      </c>
      <c r="C35" s="1" t="s">
        <v>66</v>
      </c>
      <c r="D35" s="13">
        <f>E35/5280</f>
        <v>0.24100378787878787</v>
      </c>
      <c r="E35" s="5">
        <v>1272.5</v>
      </c>
      <c r="F35" s="27">
        <f>G35/5280</f>
        <v>0.48200757575757575</v>
      </c>
      <c r="G35" s="28">
        <v>2545</v>
      </c>
      <c r="H35" s="54">
        <f>I35/5280</f>
        <v>0</v>
      </c>
      <c r="I35" s="55"/>
      <c r="J35" s="13">
        <f>K35/5280</f>
        <v>0.50801136363636368</v>
      </c>
      <c r="K35" s="5">
        <v>2682.3</v>
      </c>
      <c r="L35" s="64">
        <f>M35/5280</f>
        <v>0</v>
      </c>
      <c r="M35" s="65"/>
      <c r="R35" s="10"/>
    </row>
    <row r="36" spans="1:18" x14ac:dyDescent="0.25">
      <c r="A36" s="14"/>
      <c r="B36" s="1" t="s">
        <v>135</v>
      </c>
      <c r="C36" s="1" t="s">
        <v>189</v>
      </c>
      <c r="D36" s="13">
        <v>1.4290265151515151</v>
      </c>
      <c r="E36" s="5">
        <v>7545.26</v>
      </c>
      <c r="F36" s="27">
        <v>0.96604545454545454</v>
      </c>
      <c r="G36" s="28">
        <v>11151.6</v>
      </c>
      <c r="H36" s="54">
        <v>0.31928030303030303</v>
      </c>
      <c r="I36" s="55">
        <v>1685.8</v>
      </c>
      <c r="J36" s="13"/>
      <c r="K36" s="5"/>
      <c r="L36" s="64"/>
      <c r="M36" s="65"/>
    </row>
    <row r="37" spans="1:18" x14ac:dyDescent="0.25">
      <c r="A37" s="14"/>
      <c r="B37" s="1" t="s">
        <v>67</v>
      </c>
      <c r="C37" s="1" t="s">
        <v>68</v>
      </c>
      <c r="D37" s="13">
        <f>E37/5280</f>
        <v>0.98399621212121213</v>
      </c>
      <c r="E37" s="5">
        <v>5195.5</v>
      </c>
      <c r="F37" s="27">
        <f>G37/5280</f>
        <v>0.14200757575757575</v>
      </c>
      <c r="G37" s="28">
        <v>749.8</v>
      </c>
      <c r="H37" s="54">
        <f>I37/5280</f>
        <v>0.23202651515151512</v>
      </c>
      <c r="I37" s="55">
        <v>1225.0999999999999</v>
      </c>
      <c r="J37" s="13">
        <f>K37/5280</f>
        <v>8.2007575757575751E-2</v>
      </c>
      <c r="K37" s="5">
        <v>433</v>
      </c>
      <c r="L37" s="64">
        <f>M37/5280</f>
        <v>0</v>
      </c>
      <c r="M37" s="65"/>
    </row>
    <row r="38" spans="1:18" ht="15.75" thickBot="1" x14ac:dyDescent="0.3">
      <c r="A38" s="14"/>
      <c r="B38" s="1" t="s">
        <v>69</v>
      </c>
      <c r="C38" s="1" t="s">
        <v>82</v>
      </c>
      <c r="D38" s="13">
        <f>E38/5280</f>
        <v>0.18600378787878788</v>
      </c>
      <c r="E38" s="5">
        <v>982.1</v>
      </c>
      <c r="F38" s="27">
        <f>G38/5280</f>
        <v>0.33200757575757578</v>
      </c>
      <c r="G38" s="28">
        <v>1753</v>
      </c>
      <c r="H38" s="54">
        <f>I38/5280</f>
        <v>0</v>
      </c>
      <c r="I38" s="55"/>
      <c r="J38" s="13">
        <f>K38/5280</f>
        <v>0.39200757575757578</v>
      </c>
      <c r="K38" s="5">
        <v>2069.8000000000002</v>
      </c>
      <c r="L38" s="64">
        <f>M38/5280</f>
        <v>0</v>
      </c>
      <c r="M38" s="65"/>
    </row>
    <row r="39" spans="1:18" ht="15.75" thickBot="1" x14ac:dyDescent="0.3">
      <c r="A39" s="26" t="s">
        <v>85</v>
      </c>
      <c r="B39" s="26"/>
      <c r="C39" s="26"/>
      <c r="D39" s="34"/>
      <c r="E39" s="35"/>
      <c r="F39" s="45"/>
      <c r="G39" s="46"/>
      <c r="H39" s="52"/>
      <c r="I39" s="53"/>
      <c r="J39" s="34"/>
      <c r="K39" s="35"/>
      <c r="L39" s="62"/>
      <c r="M39" s="63"/>
    </row>
    <row r="40" spans="1:18" x14ac:dyDescent="0.25">
      <c r="A40" s="14"/>
      <c r="B40" s="1" t="s">
        <v>86</v>
      </c>
      <c r="C40" s="1" t="s">
        <v>87</v>
      </c>
      <c r="D40" s="13">
        <f t="shared" ref="D40:D43" si="21">E40/5280</f>
        <v>3.6949999999999998</v>
      </c>
      <c r="E40" s="5">
        <v>19509.599999999999</v>
      </c>
      <c r="F40" s="27">
        <f t="shared" ref="F40:F43" si="22">G40/5280</f>
        <v>3.7009999999999996</v>
      </c>
      <c r="G40" s="28">
        <v>19541.28</v>
      </c>
      <c r="H40" s="54">
        <f t="shared" ref="H40:H43" si="23">I40/5280</f>
        <v>0.60225000000000006</v>
      </c>
      <c r="I40" s="55">
        <v>3179.88</v>
      </c>
      <c r="J40" s="13">
        <f t="shared" ref="J40:J43" si="24">K40/5280</f>
        <v>19.859848484848484</v>
      </c>
      <c r="K40" s="5">
        <v>104860</v>
      </c>
      <c r="L40" s="64">
        <f t="shared" ref="L40:L43" si="25">M40/5280</f>
        <v>0</v>
      </c>
      <c r="M40" s="65"/>
    </row>
    <row r="41" spans="1:18" x14ac:dyDescent="0.25">
      <c r="A41" s="14"/>
      <c r="B41" s="1" t="s">
        <v>91</v>
      </c>
      <c r="C41" s="1" t="s">
        <v>92</v>
      </c>
      <c r="D41" s="13">
        <f t="shared" si="21"/>
        <v>2.2197916666666662</v>
      </c>
      <c r="E41" s="5">
        <f>22301.62-10581.12</f>
        <v>11720.499999999998</v>
      </c>
      <c r="F41" s="27">
        <f t="shared" si="22"/>
        <v>3.7389621212121207</v>
      </c>
      <c r="G41" s="28">
        <f>26172.76-6431.04</f>
        <v>19741.719999999998</v>
      </c>
      <c r="H41" s="54">
        <f t="shared" si="23"/>
        <v>0.14651515151515149</v>
      </c>
      <c r="I41" s="55">
        <f>3149.6-2376</f>
        <v>773.59999999999991</v>
      </c>
      <c r="J41" s="13">
        <f t="shared" si="24"/>
        <v>0</v>
      </c>
      <c r="K41" s="5"/>
      <c r="L41" s="64">
        <f t="shared" si="25"/>
        <v>0</v>
      </c>
      <c r="M41" s="65"/>
    </row>
    <row r="42" spans="1:18" x14ac:dyDescent="0.25">
      <c r="A42" s="14"/>
      <c r="B42" s="1" t="s">
        <v>108</v>
      </c>
      <c r="C42" s="1" t="s">
        <v>177</v>
      </c>
      <c r="D42" s="13">
        <f t="shared" si="21"/>
        <v>1.9819886363636363</v>
      </c>
      <c r="E42" s="5">
        <v>10464.9</v>
      </c>
      <c r="F42" s="27">
        <f t="shared" si="22"/>
        <v>0.65500000000000003</v>
      </c>
      <c r="G42" s="28">
        <v>3458.4</v>
      </c>
      <c r="H42" s="54">
        <f t="shared" si="23"/>
        <v>0.49551136363636367</v>
      </c>
      <c r="I42" s="55">
        <v>2616.3000000000002</v>
      </c>
      <c r="J42" s="13">
        <f t="shared" si="24"/>
        <v>0</v>
      </c>
      <c r="K42" s="5"/>
      <c r="L42" s="64">
        <f t="shared" si="25"/>
        <v>0</v>
      </c>
      <c r="M42" s="65"/>
    </row>
    <row r="43" spans="1:18" ht="15.75" thickBot="1" x14ac:dyDescent="0.3">
      <c r="A43" s="14" t="s">
        <v>294</v>
      </c>
      <c r="B43" s="1" t="s">
        <v>93</v>
      </c>
      <c r="C43" s="1" t="s">
        <v>94</v>
      </c>
      <c r="D43" s="13">
        <f t="shared" si="21"/>
        <v>5.2469886363636364</v>
      </c>
      <c r="E43" s="5">
        <f>18479.9+2597.8+6626.4</f>
        <v>27704.1</v>
      </c>
      <c r="F43" s="27">
        <f t="shared" si="22"/>
        <v>4.3236856060606055</v>
      </c>
      <c r="G43" s="28">
        <f>15338.5+5195.6+1400+894.96</f>
        <v>22829.059999999998</v>
      </c>
      <c r="H43" s="54">
        <f t="shared" si="23"/>
        <v>3.2476704545454549</v>
      </c>
      <c r="I43" s="55">
        <f>3373.9+521+13252.8</f>
        <v>17147.7</v>
      </c>
      <c r="J43" s="13">
        <f t="shared" si="24"/>
        <v>0</v>
      </c>
      <c r="K43" s="5"/>
      <c r="L43" s="64">
        <f t="shared" si="25"/>
        <v>0</v>
      </c>
      <c r="M43" s="65"/>
    </row>
    <row r="44" spans="1:18" ht="15.75" thickBot="1" x14ac:dyDescent="0.3">
      <c r="A44" s="26" t="s">
        <v>95</v>
      </c>
      <c r="B44" s="26"/>
      <c r="C44" s="26"/>
      <c r="D44" s="34"/>
      <c r="E44" s="35"/>
      <c r="F44" s="45"/>
      <c r="G44" s="46"/>
      <c r="H44" s="52"/>
      <c r="I44" s="53"/>
      <c r="J44" s="34"/>
      <c r="K44" s="35"/>
      <c r="L44" s="62"/>
      <c r="M44" s="63"/>
    </row>
    <row r="45" spans="1:18" x14ac:dyDescent="0.25">
      <c r="A45" s="14"/>
      <c r="B45" s="36" t="s">
        <v>29</v>
      </c>
      <c r="C45" s="1" t="s">
        <v>30</v>
      </c>
      <c r="D45" s="13">
        <f>E45/5280</f>
        <v>1.0990151515151516</v>
      </c>
      <c r="E45" s="5">
        <v>5802.8</v>
      </c>
      <c r="F45" s="27">
        <f t="shared" ref="F45:F57" si="26">G45/5280</f>
        <v>1.2510227272727272</v>
      </c>
      <c r="G45" s="28">
        <v>6605.4</v>
      </c>
      <c r="H45" s="54">
        <f t="shared" ref="H45:H57" si="27">I45/5280</f>
        <v>0.14926136363636364</v>
      </c>
      <c r="I45" s="55">
        <v>788.1</v>
      </c>
      <c r="J45" s="13">
        <f>K45/5280</f>
        <v>0</v>
      </c>
      <c r="K45" s="5"/>
      <c r="L45" s="64">
        <f>M45/5280</f>
        <v>0.18200757575757576</v>
      </c>
      <c r="M45" s="65">
        <v>961</v>
      </c>
    </row>
    <row r="46" spans="1:18" x14ac:dyDescent="0.25">
      <c r="A46" s="14" t="s">
        <v>290</v>
      </c>
      <c r="B46" s="1" t="s">
        <v>7</v>
      </c>
      <c r="C46" s="1" t="s">
        <v>239</v>
      </c>
      <c r="D46" s="13">
        <f>E46/5280</f>
        <v>1.3045454545454545</v>
      </c>
      <c r="E46" s="5">
        <v>6888</v>
      </c>
      <c r="F46" s="27">
        <f t="shared" si="26"/>
        <v>3.3027424242424241</v>
      </c>
      <c r="G46" s="28">
        <f>12438.48+5000</f>
        <v>17438.48</v>
      </c>
      <c r="H46" s="54">
        <f t="shared" si="27"/>
        <v>0.55102272727272728</v>
      </c>
      <c r="I46" s="55">
        <f>1709.4+1200</f>
        <v>2909.4</v>
      </c>
      <c r="J46" s="13">
        <f>K46/5280</f>
        <v>3.4626155303030304</v>
      </c>
      <c r="K46" s="5">
        <f>17382.61+900</f>
        <v>18282.61</v>
      </c>
      <c r="L46" s="64"/>
      <c r="M46" s="65"/>
    </row>
    <row r="47" spans="1:18" ht="17.25" customHeight="1" x14ac:dyDescent="0.25">
      <c r="A47" s="14" t="s">
        <v>288</v>
      </c>
      <c r="B47" s="1" t="s">
        <v>103</v>
      </c>
      <c r="C47" s="1" t="s">
        <v>245</v>
      </c>
      <c r="D47" s="13"/>
      <c r="E47" s="5"/>
      <c r="F47" s="27">
        <f t="shared" si="26"/>
        <v>2.1604166666666669</v>
      </c>
      <c r="G47" s="28">
        <v>11407</v>
      </c>
      <c r="H47" s="54">
        <f t="shared" si="27"/>
        <v>9.166666666666666E-2</v>
      </c>
      <c r="I47" s="55">
        <v>484</v>
      </c>
      <c r="J47" s="13"/>
      <c r="K47" s="5"/>
      <c r="L47" s="64"/>
      <c r="M47" s="65"/>
    </row>
    <row r="48" spans="1:18" ht="17.25" customHeight="1" x14ac:dyDescent="0.25">
      <c r="A48" s="14" t="s">
        <v>289</v>
      </c>
      <c r="B48" s="1" t="s">
        <v>103</v>
      </c>
      <c r="C48" s="1" t="s">
        <v>246</v>
      </c>
      <c r="D48" s="13">
        <f t="shared" ref="D48:D57" si="28">E48/5280</f>
        <v>4.0066287878787881</v>
      </c>
      <c r="E48" s="5">
        <v>21155</v>
      </c>
      <c r="F48" s="27">
        <f t="shared" si="26"/>
        <v>1.9174242424242425</v>
      </c>
      <c r="G48" s="28">
        <v>10124</v>
      </c>
      <c r="H48" s="54">
        <f t="shared" si="27"/>
        <v>0.37518939393939393</v>
      </c>
      <c r="I48" s="55">
        <v>1981</v>
      </c>
      <c r="J48" s="13"/>
      <c r="K48" s="5"/>
      <c r="L48" s="64"/>
      <c r="M48" s="65"/>
    </row>
    <row r="49" spans="1:13" ht="17.25" customHeight="1" x14ac:dyDescent="0.25">
      <c r="A49" s="14"/>
      <c r="B49" s="1" t="s">
        <v>78</v>
      </c>
      <c r="C49" s="1" t="s">
        <v>220</v>
      </c>
      <c r="D49" s="13">
        <f t="shared" si="28"/>
        <v>0.99897727272727277</v>
      </c>
      <c r="E49" s="5">
        <v>5274.6</v>
      </c>
      <c r="F49" s="27">
        <f t="shared" si="26"/>
        <v>1.6099621212121213</v>
      </c>
      <c r="G49" s="28">
        <v>8500.6</v>
      </c>
      <c r="H49" s="54">
        <f t="shared" si="27"/>
        <v>0</v>
      </c>
      <c r="I49" s="55"/>
      <c r="J49" s="13">
        <f t="shared" ref="J49:J57" si="29">K49/5280</f>
        <v>1.9495265151515151</v>
      </c>
      <c r="K49" s="5">
        <f>6293.5+4000</f>
        <v>10293.5</v>
      </c>
      <c r="L49" s="64">
        <f t="shared" ref="L49:L57" si="30">M49/5280</f>
        <v>0.19200757575757574</v>
      </c>
      <c r="M49" s="65">
        <v>1013.8</v>
      </c>
    </row>
    <row r="50" spans="1:13" ht="17.25" customHeight="1" x14ac:dyDescent="0.25">
      <c r="A50" s="14"/>
      <c r="B50" s="1" t="s">
        <v>178</v>
      </c>
      <c r="C50" s="1" t="s">
        <v>179</v>
      </c>
      <c r="D50" s="13">
        <f t="shared" si="28"/>
        <v>0.1689962121212121</v>
      </c>
      <c r="E50" s="5">
        <v>892.3</v>
      </c>
      <c r="F50" s="27">
        <f t="shared" si="26"/>
        <v>0.33799242424242421</v>
      </c>
      <c r="G50" s="28">
        <v>1784.6</v>
      </c>
      <c r="H50" s="54">
        <f t="shared" si="27"/>
        <v>0</v>
      </c>
      <c r="I50" s="55"/>
      <c r="J50" s="13">
        <f t="shared" si="29"/>
        <v>0.45198863636363634</v>
      </c>
      <c r="K50" s="5">
        <v>2386.5</v>
      </c>
      <c r="L50" s="64">
        <f t="shared" si="30"/>
        <v>0</v>
      </c>
      <c r="M50" s="65"/>
    </row>
    <row r="51" spans="1:13" ht="17.25" customHeight="1" x14ac:dyDescent="0.25">
      <c r="A51" s="14"/>
      <c r="B51" s="36" t="s">
        <v>33</v>
      </c>
      <c r="C51" s="1" t="s">
        <v>34</v>
      </c>
      <c r="D51" s="13">
        <f t="shared" si="28"/>
        <v>0.58799242424242426</v>
      </c>
      <c r="E51" s="5">
        <v>3104.6</v>
      </c>
      <c r="F51" s="27">
        <f t="shared" si="26"/>
        <v>0.71899621212121212</v>
      </c>
      <c r="G51" s="28">
        <v>3796.3</v>
      </c>
      <c r="H51" s="54">
        <f t="shared" si="27"/>
        <v>8.3011363636363633E-2</v>
      </c>
      <c r="I51" s="55">
        <v>438.3</v>
      </c>
      <c r="J51" s="13">
        <f t="shared" si="29"/>
        <v>1.1759848484848485</v>
      </c>
      <c r="K51" s="5">
        <v>6209.2</v>
      </c>
      <c r="L51" s="64">
        <f t="shared" si="30"/>
        <v>0</v>
      </c>
      <c r="M51" s="65"/>
    </row>
    <row r="52" spans="1:13" ht="17.25" customHeight="1" x14ac:dyDescent="0.25">
      <c r="A52" s="14"/>
      <c r="B52" s="36" t="s">
        <v>32</v>
      </c>
      <c r="C52" s="1" t="s">
        <v>221</v>
      </c>
      <c r="D52" s="13">
        <f t="shared" si="28"/>
        <v>0.31301136363636367</v>
      </c>
      <c r="E52" s="5">
        <v>1652.7</v>
      </c>
      <c r="F52" s="27">
        <f t="shared" si="26"/>
        <v>0.30499999999999999</v>
      </c>
      <c r="G52" s="28">
        <v>1610.4</v>
      </c>
      <c r="H52" s="54">
        <f t="shared" si="27"/>
        <v>5.376893939393939E-2</v>
      </c>
      <c r="I52" s="55">
        <v>283.89999999999998</v>
      </c>
      <c r="J52" s="13">
        <f t="shared" si="29"/>
        <v>0.62602272727272734</v>
      </c>
      <c r="K52" s="5">
        <v>3305.4</v>
      </c>
      <c r="L52" s="64">
        <f t="shared" si="30"/>
        <v>0</v>
      </c>
      <c r="M52" s="65"/>
    </row>
    <row r="53" spans="1:13" x14ac:dyDescent="0.25">
      <c r="A53" s="14"/>
      <c r="B53" s="36" t="s">
        <v>6</v>
      </c>
      <c r="C53" s="1" t="s">
        <v>31</v>
      </c>
      <c r="D53" s="13">
        <f t="shared" si="28"/>
        <v>1.4180113636363636</v>
      </c>
      <c r="E53" s="5">
        <v>7487.1</v>
      </c>
      <c r="F53" s="27">
        <f t="shared" si="26"/>
        <v>2.362026515151515</v>
      </c>
      <c r="G53" s="28">
        <v>12471.5</v>
      </c>
      <c r="H53" s="54">
        <f t="shared" si="27"/>
        <v>7.1003787878787875E-2</v>
      </c>
      <c r="I53" s="55">
        <v>374.9</v>
      </c>
      <c r="J53" s="13">
        <f t="shared" si="29"/>
        <v>4.7992424242424246E-2</v>
      </c>
      <c r="K53" s="5">
        <v>253.4</v>
      </c>
      <c r="L53" s="64">
        <f t="shared" si="30"/>
        <v>0</v>
      </c>
      <c r="M53" s="65"/>
    </row>
    <row r="54" spans="1:13" x14ac:dyDescent="0.25">
      <c r="A54" s="14"/>
      <c r="B54" s="36" t="s">
        <v>24</v>
      </c>
      <c r="C54" s="1" t="s">
        <v>28</v>
      </c>
      <c r="D54" s="13">
        <f t="shared" si="28"/>
        <v>1.4284545454545454</v>
      </c>
      <c r="E54" s="5">
        <f>8553.8-1011.56</f>
        <v>7542.24</v>
      </c>
      <c r="F54" s="27">
        <f t="shared" si="26"/>
        <v>2.7820492424242422</v>
      </c>
      <c r="G54" s="28">
        <f>16674.5-1985.28</f>
        <v>14689.22</v>
      </c>
      <c r="H54" s="54">
        <f t="shared" si="27"/>
        <v>4.015151515151515E-3</v>
      </c>
      <c r="I54" s="55">
        <v>21.2</v>
      </c>
      <c r="J54" s="13">
        <f t="shared" si="29"/>
        <v>3.2830681818181815</v>
      </c>
      <c r="K54" s="5">
        <v>17334.599999999999</v>
      </c>
      <c r="L54" s="64">
        <f t="shared" si="30"/>
        <v>0</v>
      </c>
      <c r="M54" s="65"/>
    </row>
    <row r="55" spans="1:13" x14ac:dyDescent="0.25">
      <c r="A55" s="14"/>
      <c r="B55" s="36" t="s">
        <v>24</v>
      </c>
      <c r="C55" s="1" t="s">
        <v>265</v>
      </c>
      <c r="D55" s="13">
        <f t="shared" si="28"/>
        <v>0.97602272727272721</v>
      </c>
      <c r="E55" s="5">
        <v>5153.3999999999996</v>
      </c>
      <c r="F55" s="27">
        <f t="shared" si="26"/>
        <v>0.96136363636363631</v>
      </c>
      <c r="G55" s="28">
        <f>2538*2</f>
        <v>5076</v>
      </c>
      <c r="H55" s="54">
        <f t="shared" si="27"/>
        <v>5.9507575757575752E-2</v>
      </c>
      <c r="I55" s="55">
        <v>314.2</v>
      </c>
      <c r="J55" s="13">
        <f t="shared" si="29"/>
        <v>0.88604166666666673</v>
      </c>
      <c r="K55" s="5">
        <v>4678.3</v>
      </c>
      <c r="L55" s="64">
        <f t="shared" si="30"/>
        <v>0</v>
      </c>
      <c r="M55" s="65"/>
    </row>
    <row r="56" spans="1:13" x14ac:dyDescent="0.25">
      <c r="A56" s="14"/>
      <c r="B56" s="1" t="s">
        <v>167</v>
      </c>
      <c r="C56" s="1" t="s">
        <v>168</v>
      </c>
      <c r="D56" s="13">
        <f t="shared" si="28"/>
        <v>1</v>
      </c>
      <c r="E56" s="5">
        <v>5280</v>
      </c>
      <c r="F56" s="27">
        <f t="shared" si="26"/>
        <v>0.46600000000000003</v>
      </c>
      <c r="G56" s="28">
        <v>2460.48</v>
      </c>
      <c r="H56" s="54">
        <f t="shared" si="27"/>
        <v>0.96499999999999997</v>
      </c>
      <c r="I56" s="55">
        <v>5095.2</v>
      </c>
      <c r="J56" s="13">
        <f t="shared" si="29"/>
        <v>0</v>
      </c>
      <c r="K56" s="5"/>
      <c r="L56" s="64">
        <f t="shared" si="30"/>
        <v>0</v>
      </c>
      <c r="M56" s="66"/>
    </row>
    <row r="57" spans="1:13" x14ac:dyDescent="0.25">
      <c r="A57" s="14"/>
      <c r="B57" s="36" t="s">
        <v>22</v>
      </c>
      <c r="C57" s="1" t="s">
        <v>23</v>
      </c>
      <c r="D57" s="13">
        <f t="shared" si="28"/>
        <v>0.48100378787878784</v>
      </c>
      <c r="E57" s="5">
        <v>2539.6999999999998</v>
      </c>
      <c r="F57" s="27">
        <f t="shared" si="26"/>
        <v>0.96200757575757567</v>
      </c>
      <c r="G57" s="28">
        <v>5079.3999999999996</v>
      </c>
      <c r="H57" s="54">
        <f t="shared" si="27"/>
        <v>0</v>
      </c>
      <c r="I57" s="55"/>
      <c r="J57" s="13">
        <f t="shared" si="29"/>
        <v>0.44500000000000001</v>
      </c>
      <c r="K57" s="5">
        <v>2349.6</v>
      </c>
      <c r="L57" s="64">
        <f t="shared" si="30"/>
        <v>0</v>
      </c>
      <c r="M57" s="65"/>
    </row>
    <row r="58" spans="1:13" x14ac:dyDescent="0.25">
      <c r="A58" s="14"/>
      <c r="B58" s="36" t="s">
        <v>261</v>
      </c>
      <c r="C58" s="1" t="s">
        <v>262</v>
      </c>
      <c r="D58" s="13"/>
      <c r="E58" s="5"/>
      <c r="F58" s="27">
        <f>Table42[[#This Row],[FEET3]]/5280</f>
        <v>0.23219696969696971</v>
      </c>
      <c r="G58" s="28">
        <f>613*2</f>
        <v>1226</v>
      </c>
      <c r="H58" s="54"/>
      <c r="I58" s="55"/>
      <c r="J58" s="13"/>
      <c r="K58" s="5"/>
      <c r="L58" s="64"/>
      <c r="M58" s="65"/>
    </row>
    <row r="59" spans="1:13" x14ac:dyDescent="0.25">
      <c r="A59" s="14"/>
      <c r="B59" s="1" t="s">
        <v>263</v>
      </c>
      <c r="C59" s="1" t="s">
        <v>264</v>
      </c>
      <c r="D59" s="13"/>
      <c r="E59" s="5"/>
      <c r="F59" s="27">
        <f>Table42[[#This Row],[FEET3]]/5280</f>
        <v>0.36401515151515151</v>
      </c>
      <c r="G59" s="28">
        <f>961*2</f>
        <v>1922</v>
      </c>
      <c r="H59" s="54"/>
      <c r="I59" s="55"/>
      <c r="J59" s="13"/>
      <c r="K59" s="5"/>
      <c r="L59" s="64"/>
      <c r="M59" s="65"/>
    </row>
    <row r="60" spans="1:13" x14ac:dyDescent="0.25">
      <c r="A60" s="14"/>
      <c r="B60" s="36" t="s">
        <v>11</v>
      </c>
      <c r="C60" s="1" t="s">
        <v>224</v>
      </c>
      <c r="D60" s="13">
        <f t="shared" ref="D60:D67" si="31">E60/5280</f>
        <v>2.0024621212121212</v>
      </c>
      <c r="E60" s="5">
        <v>10573</v>
      </c>
      <c r="F60" s="27">
        <f t="shared" ref="F60:F69" si="32">G60/5280</f>
        <v>3.8647727272727272</v>
      </c>
      <c r="G60" s="28">
        <f>17107+3299</f>
        <v>20406</v>
      </c>
      <c r="H60" s="54">
        <f t="shared" ref="H60:H69" si="33">I60/5280</f>
        <v>0</v>
      </c>
      <c r="I60" s="55"/>
      <c r="J60" s="13">
        <f t="shared" ref="J60:J69" si="34">K60/5280</f>
        <v>3.208939393939394</v>
      </c>
      <c r="K60" s="5">
        <v>16943.2</v>
      </c>
      <c r="L60" s="64">
        <f t="shared" ref="L60:L67" si="35">M60/5280</f>
        <v>0</v>
      </c>
      <c r="M60" s="65"/>
    </row>
    <row r="61" spans="1:13" x14ac:dyDescent="0.25">
      <c r="A61" s="14"/>
      <c r="B61" s="36" t="s">
        <v>26</v>
      </c>
      <c r="C61" s="1" t="s">
        <v>27</v>
      </c>
      <c r="D61" s="13">
        <f t="shared" si="31"/>
        <v>2.6070265151515151</v>
      </c>
      <c r="E61" s="5">
        <v>13765.1</v>
      </c>
      <c r="F61" s="27">
        <f t="shared" si="32"/>
        <v>4.1324621212121215</v>
      </c>
      <c r="G61" s="28">
        <f>17957.4+3862</f>
        <v>21819.4</v>
      </c>
      <c r="H61" s="54">
        <f t="shared" si="33"/>
        <v>0.29149621212121213</v>
      </c>
      <c r="I61" s="55">
        <v>1539.1</v>
      </c>
      <c r="J61" s="13">
        <f t="shared" si="34"/>
        <v>0</v>
      </c>
      <c r="K61" s="5"/>
      <c r="L61" s="64">
        <f t="shared" si="35"/>
        <v>0</v>
      </c>
      <c r="M61" s="65"/>
    </row>
    <row r="62" spans="1:13" x14ac:dyDescent="0.25">
      <c r="A62" s="14"/>
      <c r="B62" s="36" t="s">
        <v>25</v>
      </c>
      <c r="C62" s="1" t="s">
        <v>230</v>
      </c>
      <c r="D62" s="13">
        <f t="shared" si="31"/>
        <v>4.2970075757575756</v>
      </c>
      <c r="E62" s="5">
        <v>22688.2</v>
      </c>
      <c r="F62" s="27">
        <f t="shared" si="32"/>
        <v>5.3292424242424241</v>
      </c>
      <c r="G62" s="28">
        <v>28138.400000000001</v>
      </c>
      <c r="H62" s="54">
        <f t="shared" si="33"/>
        <v>0.48028409090909091</v>
      </c>
      <c r="I62" s="55">
        <v>2535.9</v>
      </c>
      <c r="J62" s="13">
        <f t="shared" si="34"/>
        <v>7.728409090909091</v>
      </c>
      <c r="K62" s="5">
        <f>2811+37995</f>
        <v>40806</v>
      </c>
      <c r="L62" s="64">
        <f t="shared" si="35"/>
        <v>0</v>
      </c>
      <c r="M62" s="65"/>
    </row>
    <row r="63" spans="1:13" x14ac:dyDescent="0.25">
      <c r="A63" s="14"/>
      <c r="B63" s="1" t="s">
        <v>171</v>
      </c>
      <c r="C63" s="1" t="s">
        <v>185</v>
      </c>
      <c r="D63" s="13">
        <f t="shared" si="31"/>
        <v>0.35698863636363637</v>
      </c>
      <c r="E63" s="5">
        <v>1884.9</v>
      </c>
      <c r="F63" s="27">
        <f t="shared" si="32"/>
        <v>0.74695075757575757</v>
      </c>
      <c r="G63" s="28">
        <f>1884.9+2059</f>
        <v>3943.9</v>
      </c>
      <c r="H63" s="54">
        <f t="shared" si="33"/>
        <v>0</v>
      </c>
      <c r="I63" s="55"/>
      <c r="J63" s="13">
        <f t="shared" si="34"/>
        <v>1.1174810606060606</v>
      </c>
      <c r="K63" s="5">
        <f>3025.3+2875</f>
        <v>5900.3</v>
      </c>
      <c r="L63" s="64">
        <f t="shared" si="35"/>
        <v>0.20037878787878788</v>
      </c>
      <c r="M63" s="66">
        <v>1058</v>
      </c>
    </row>
    <row r="64" spans="1:13" x14ac:dyDescent="0.25">
      <c r="A64" s="14"/>
      <c r="B64" s="1" t="s">
        <v>172</v>
      </c>
      <c r="C64" s="1" t="s">
        <v>185</v>
      </c>
      <c r="D64" s="13">
        <f t="shared" si="31"/>
        <v>0.31301136363636367</v>
      </c>
      <c r="E64" s="5">
        <v>1652.7</v>
      </c>
      <c r="F64" s="27">
        <f t="shared" si="32"/>
        <v>0.70297348484848476</v>
      </c>
      <c r="G64" s="28">
        <f>1652.7+2059</f>
        <v>3711.7</v>
      </c>
      <c r="H64" s="54">
        <f t="shared" si="33"/>
        <v>0</v>
      </c>
      <c r="I64" s="55"/>
      <c r="J64" s="13">
        <f t="shared" si="34"/>
        <v>0.91452651515151506</v>
      </c>
      <c r="K64" s="5">
        <f>1953.7+2875</f>
        <v>4828.7</v>
      </c>
      <c r="L64" s="64">
        <f t="shared" si="35"/>
        <v>0.20037878787878788</v>
      </c>
      <c r="M64" s="66">
        <v>1058</v>
      </c>
    </row>
    <row r="65" spans="1:74" x14ac:dyDescent="0.25">
      <c r="A65" s="14"/>
      <c r="B65" s="1" t="s">
        <v>172</v>
      </c>
      <c r="C65" s="1" t="s">
        <v>28</v>
      </c>
      <c r="D65" s="13">
        <f t="shared" si="31"/>
        <v>3.9649810606060605</v>
      </c>
      <c r="E65" s="5">
        <f>18876.1+2059</f>
        <v>20935.099999999999</v>
      </c>
      <c r="F65" s="27">
        <f t="shared" si="32"/>
        <v>3.3000189393939392</v>
      </c>
      <c r="G65" s="28">
        <v>17424.099999999999</v>
      </c>
      <c r="H65" s="54">
        <f t="shared" si="33"/>
        <v>0</v>
      </c>
      <c r="I65" s="55"/>
      <c r="J65" s="13">
        <f t="shared" si="34"/>
        <v>3.5750189393939391</v>
      </c>
      <c r="K65" s="5">
        <v>18876.099999999999</v>
      </c>
      <c r="L65" s="64">
        <f t="shared" si="35"/>
        <v>0.89376893939393942</v>
      </c>
      <c r="M65" s="65">
        <v>4719.1000000000004</v>
      </c>
    </row>
    <row r="66" spans="1:74" x14ac:dyDescent="0.25">
      <c r="A66" s="14"/>
      <c r="B66" s="1" t="s">
        <v>171</v>
      </c>
      <c r="C66" s="1" t="s">
        <v>28</v>
      </c>
      <c r="D66" s="13">
        <f t="shared" si="31"/>
        <v>3.6129924242424241</v>
      </c>
      <c r="E66" s="5">
        <v>19076.599999999999</v>
      </c>
      <c r="F66" s="27">
        <f t="shared" si="32"/>
        <v>3.5050000000000003</v>
      </c>
      <c r="G66" s="28">
        <v>18506.400000000001</v>
      </c>
      <c r="H66" s="54">
        <f t="shared" si="33"/>
        <v>0</v>
      </c>
      <c r="I66" s="55"/>
      <c r="J66" s="13">
        <f t="shared" si="34"/>
        <v>3.7279924242424243</v>
      </c>
      <c r="K66" s="5">
        <f>607.2+19076.6</f>
        <v>19683.8</v>
      </c>
      <c r="L66" s="64">
        <f t="shared" si="35"/>
        <v>0.9032575757575757</v>
      </c>
      <c r="M66" s="65">
        <v>4769.2</v>
      </c>
    </row>
    <row r="67" spans="1:74" x14ac:dyDescent="0.25">
      <c r="A67" s="14"/>
      <c r="B67" s="36" t="s">
        <v>21</v>
      </c>
      <c r="C67" s="1" t="s">
        <v>247</v>
      </c>
      <c r="D67" s="13">
        <f t="shared" si="31"/>
        <v>0.71600378787878793</v>
      </c>
      <c r="E67" s="5">
        <v>3780.5</v>
      </c>
      <c r="F67" s="27">
        <f t="shared" si="32"/>
        <v>0.5829545454545455</v>
      </c>
      <c r="G67" s="28">
        <v>3078</v>
      </c>
      <c r="H67" s="54">
        <f t="shared" si="33"/>
        <v>0</v>
      </c>
      <c r="I67" s="55">
        <v>0</v>
      </c>
      <c r="J67" s="13">
        <f t="shared" si="34"/>
        <v>0.5829545454545455</v>
      </c>
      <c r="K67" s="5">
        <v>3078</v>
      </c>
      <c r="L67" s="64">
        <f t="shared" si="35"/>
        <v>0</v>
      </c>
      <c r="M67" s="65"/>
    </row>
    <row r="68" spans="1:74" x14ac:dyDescent="0.25">
      <c r="A68" s="14"/>
      <c r="B68" s="36" t="s">
        <v>7</v>
      </c>
      <c r="C68" s="1" t="s">
        <v>237</v>
      </c>
      <c r="D68" s="13">
        <f>Table42[[#This Row],[FEET]]/5280</f>
        <v>0.82064393939393943</v>
      </c>
      <c r="E68" s="5">
        <v>4333</v>
      </c>
      <c r="F68" s="27">
        <f t="shared" si="32"/>
        <v>1.0349999999999999</v>
      </c>
      <c r="G68" s="28">
        <f>2745.6+2719.2</f>
        <v>5464.7999999999993</v>
      </c>
      <c r="H68" s="54">
        <f t="shared" si="33"/>
        <v>9.3768939393939404E-2</v>
      </c>
      <c r="I68" s="55">
        <f>495.1</f>
        <v>495.1</v>
      </c>
      <c r="J68" s="13">
        <f t="shared" si="34"/>
        <v>0.92500000000000004</v>
      </c>
      <c r="K68" s="5">
        <v>4884</v>
      </c>
      <c r="L68" s="64"/>
      <c r="M68" s="65"/>
    </row>
    <row r="69" spans="1:74" ht="15.75" thickBot="1" x14ac:dyDescent="0.3">
      <c r="A69" s="14"/>
      <c r="B69" s="36" t="s">
        <v>7</v>
      </c>
      <c r="C69" s="1" t="s">
        <v>147</v>
      </c>
      <c r="D69" s="13">
        <f>E69/5280</f>
        <v>1.785965909090909</v>
      </c>
      <c r="E69" s="5">
        <v>9429.9</v>
      </c>
      <c r="F69" s="27">
        <f t="shared" si="32"/>
        <v>1.8259848484848487</v>
      </c>
      <c r="G69" s="28">
        <v>9641.2000000000007</v>
      </c>
      <c r="H69" s="54">
        <f t="shared" si="33"/>
        <v>0.21149621212121214</v>
      </c>
      <c r="I69" s="55">
        <v>1116.7</v>
      </c>
      <c r="J69" s="13">
        <f t="shared" si="34"/>
        <v>3.7389204545454544</v>
      </c>
      <c r="K69" s="5">
        <v>19741.5</v>
      </c>
      <c r="L69" s="64">
        <f t="shared" ref="L69" si="36">M69/5280</f>
        <v>0</v>
      </c>
      <c r="M69" s="65"/>
    </row>
    <row r="70" spans="1:74" ht="15.75" thickBot="1" x14ac:dyDescent="0.3">
      <c r="A70" s="26" t="s">
        <v>217</v>
      </c>
      <c r="B70" s="26"/>
      <c r="C70" s="26"/>
      <c r="D70" s="34"/>
      <c r="E70" s="35"/>
      <c r="F70" s="45"/>
      <c r="G70" s="46"/>
      <c r="H70" s="52"/>
      <c r="I70" s="53"/>
      <c r="J70" s="34"/>
      <c r="K70" s="35"/>
      <c r="L70" s="62"/>
      <c r="M70" s="63"/>
    </row>
    <row r="71" spans="1:74" x14ac:dyDescent="0.25">
      <c r="A71" s="14"/>
      <c r="B71" s="1" t="s">
        <v>104</v>
      </c>
      <c r="C71" s="1" t="s">
        <v>105</v>
      </c>
      <c r="D71" s="13">
        <f t="shared" ref="D71:D97" si="37">E71/5280</f>
        <v>2.2289962121212121</v>
      </c>
      <c r="E71" s="5">
        <v>11769.1</v>
      </c>
      <c r="F71" s="27">
        <f t="shared" ref="F71:F98" si="38">G71/5280</f>
        <v>12.265113636363637</v>
      </c>
      <c r="G71" s="28">
        <f>18759.8+46000</f>
        <v>64759.8</v>
      </c>
      <c r="H71" s="54">
        <f t="shared" ref="H71:H98" si="39">I71/5280</f>
        <v>0.28475378787878786</v>
      </c>
      <c r="I71" s="55">
        <v>1503.5</v>
      </c>
      <c r="J71" s="13">
        <f t="shared" ref="J71:J79" si="40">K71/5280</f>
        <v>10.567272727272726</v>
      </c>
      <c r="K71" s="5">
        <f>8490.2+32305+15000</f>
        <v>55795.199999999997</v>
      </c>
      <c r="L71" s="64">
        <f>M71/5280</f>
        <v>1.9304924242424242</v>
      </c>
      <c r="M71" s="65">
        <v>10193</v>
      </c>
    </row>
    <row r="72" spans="1:74" x14ac:dyDescent="0.25">
      <c r="A72" s="14"/>
      <c r="B72" s="1" t="s">
        <v>96</v>
      </c>
      <c r="C72" s="1" t="s">
        <v>270</v>
      </c>
      <c r="D72" s="13">
        <f t="shared" si="37"/>
        <v>1.500378787878788</v>
      </c>
      <c r="E72" s="5">
        <v>7922</v>
      </c>
      <c r="F72" s="27">
        <f t="shared" si="38"/>
        <v>2.7490530303030303</v>
      </c>
      <c r="G72" s="28">
        <f>9790+4725</f>
        <v>14515</v>
      </c>
      <c r="H72" s="54">
        <f t="shared" si="39"/>
        <v>0.33745265151515152</v>
      </c>
      <c r="I72" s="55">
        <f>1021.75+760</f>
        <v>1781.75</v>
      </c>
      <c r="J72" s="13">
        <f t="shared" si="40"/>
        <v>0.45193181818181816</v>
      </c>
      <c r="K72" s="5">
        <v>2386.1999999999998</v>
      </c>
      <c r="L72" s="64"/>
      <c r="M72" s="65"/>
    </row>
    <row r="73" spans="1:74" x14ac:dyDescent="0.25">
      <c r="A73" s="14" t="s">
        <v>266</v>
      </c>
      <c r="B73" s="1" t="s">
        <v>99</v>
      </c>
      <c r="C73" s="1" t="s">
        <v>241</v>
      </c>
      <c r="D73" s="13">
        <f t="shared" si="37"/>
        <v>1.7823863636363637</v>
      </c>
      <c r="E73" s="5">
        <v>9411</v>
      </c>
      <c r="F73" s="27">
        <f t="shared" si="38"/>
        <v>8.990564393939394</v>
      </c>
      <c r="G73" s="28">
        <v>47470.18</v>
      </c>
      <c r="H73" s="54">
        <f t="shared" si="39"/>
        <v>0.28586174242424239</v>
      </c>
      <c r="I73" s="55">
        <v>1509.35</v>
      </c>
      <c r="J73" s="13">
        <f t="shared" si="40"/>
        <v>2.5737310606060606</v>
      </c>
      <c r="K73" s="5">
        <f>5322.3+8267</f>
        <v>13589.3</v>
      </c>
      <c r="L73" s="64">
        <f>M73/5280</f>
        <v>0</v>
      </c>
      <c r="M73" s="66"/>
    </row>
    <row r="74" spans="1:74" x14ac:dyDescent="0.25">
      <c r="A74" s="14"/>
      <c r="B74" s="1" t="s">
        <v>112</v>
      </c>
      <c r="C74" s="1" t="s">
        <v>233</v>
      </c>
      <c r="D74" s="13">
        <f t="shared" si="37"/>
        <v>0.53100378787878788</v>
      </c>
      <c r="E74" s="5">
        <v>2803.7</v>
      </c>
      <c r="F74" s="27">
        <f t="shared" si="38"/>
        <v>0.53401515151515144</v>
      </c>
      <c r="G74" s="28">
        <v>2819.6</v>
      </c>
      <c r="H74" s="54">
        <f t="shared" si="39"/>
        <v>5.9753787878787878E-2</v>
      </c>
      <c r="I74" s="55">
        <v>315.5</v>
      </c>
      <c r="J74" s="13">
        <f t="shared" si="40"/>
        <v>1.0870075757575757</v>
      </c>
      <c r="K74" s="5">
        <v>5739.4</v>
      </c>
      <c r="L74" s="64">
        <f t="shared" ref="L74:L77" si="41">M74/5280</f>
        <v>0</v>
      </c>
      <c r="M74" s="65"/>
    </row>
    <row r="75" spans="1:74" s="29" customFormat="1" x14ac:dyDescent="0.25">
      <c r="A75" s="14" t="s">
        <v>293</v>
      </c>
      <c r="B75" s="1" t="s">
        <v>108</v>
      </c>
      <c r="C75" s="1" t="s">
        <v>109</v>
      </c>
      <c r="D75" s="13">
        <f t="shared" si="37"/>
        <v>8.6580113636363638</v>
      </c>
      <c r="E75" s="5">
        <v>45714.3</v>
      </c>
      <c r="F75" s="27">
        <f t="shared" si="38"/>
        <v>10.871969696969696</v>
      </c>
      <c r="G75" s="28">
        <v>57404</v>
      </c>
      <c r="H75" s="54">
        <f t="shared" si="39"/>
        <v>4.0294507575757574</v>
      </c>
      <c r="I75" s="55">
        <v>21275.5</v>
      </c>
      <c r="J75" s="13">
        <f t="shared" si="40"/>
        <v>7.0640340909090904</v>
      </c>
      <c r="K75" s="5">
        <v>37298.1</v>
      </c>
      <c r="L75" s="64">
        <f t="shared" si="41"/>
        <v>0</v>
      </c>
      <c r="M75" s="6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</row>
    <row r="76" spans="1:74" x14ac:dyDescent="0.25">
      <c r="A76" s="14" t="s">
        <v>293</v>
      </c>
      <c r="B76" s="1" t="s">
        <v>110</v>
      </c>
      <c r="C76" s="1" t="s">
        <v>162</v>
      </c>
      <c r="D76" s="13">
        <f t="shared" si="37"/>
        <v>7.9871212121212123</v>
      </c>
      <c r="E76" s="5">
        <v>42172</v>
      </c>
      <c r="F76" s="27">
        <f t="shared" si="38"/>
        <v>11.935477272727272</v>
      </c>
      <c r="G76" s="28">
        <v>63019.32</v>
      </c>
      <c r="H76" s="54">
        <f t="shared" si="39"/>
        <v>3.37855303030303</v>
      </c>
      <c r="I76" s="55">
        <v>17838.759999999998</v>
      </c>
      <c r="J76" s="13">
        <f t="shared" si="40"/>
        <v>1.63</v>
      </c>
      <c r="K76" s="5">
        <v>8606.4</v>
      </c>
      <c r="L76" s="64">
        <f t="shared" si="41"/>
        <v>0</v>
      </c>
      <c r="M76" s="65"/>
    </row>
    <row r="77" spans="1:74" ht="17.25" customHeight="1" x14ac:dyDescent="0.25">
      <c r="A77" s="14"/>
      <c r="B77" s="1" t="s">
        <v>48</v>
      </c>
      <c r="C77" s="1" t="s">
        <v>111</v>
      </c>
      <c r="D77" s="13">
        <f t="shared" si="37"/>
        <v>0.72098484848484856</v>
      </c>
      <c r="E77" s="5">
        <v>3806.8</v>
      </c>
      <c r="F77" s="27">
        <f t="shared" si="38"/>
        <v>1.9842803030303031</v>
      </c>
      <c r="G77" s="28">
        <f>7613+2864</f>
        <v>10477</v>
      </c>
      <c r="H77" s="54">
        <f t="shared" si="39"/>
        <v>0</v>
      </c>
      <c r="I77" s="55"/>
      <c r="J77" s="13">
        <f t="shared" si="40"/>
        <v>1.4419696969696971</v>
      </c>
      <c r="K77" s="5">
        <v>7613.6</v>
      </c>
      <c r="L77" s="64">
        <f t="shared" si="41"/>
        <v>0</v>
      </c>
      <c r="M77" s="65"/>
    </row>
    <row r="78" spans="1:74" x14ac:dyDescent="0.25">
      <c r="A78" s="14"/>
      <c r="B78" s="1" t="s">
        <v>180</v>
      </c>
      <c r="C78" s="1" t="s">
        <v>182</v>
      </c>
      <c r="D78" s="13">
        <f t="shared" si="37"/>
        <v>1.8276515151515151</v>
      </c>
      <c r="E78" s="5">
        <v>9650</v>
      </c>
      <c r="F78" s="27">
        <f t="shared" si="38"/>
        <v>2.4430113636363635</v>
      </c>
      <c r="G78" s="28">
        <v>12899.1</v>
      </c>
      <c r="H78" s="54">
        <f t="shared" si="39"/>
        <v>0.34950757575757579</v>
      </c>
      <c r="I78" s="55">
        <v>1845.4</v>
      </c>
      <c r="J78" s="13">
        <f t="shared" si="40"/>
        <v>1.6376893939393939</v>
      </c>
      <c r="K78" s="5">
        <v>8647</v>
      </c>
      <c r="L78" s="64"/>
      <c r="M78" s="65"/>
    </row>
    <row r="79" spans="1:74" ht="15.75" thickBot="1" x14ac:dyDescent="0.3">
      <c r="A79" s="14"/>
      <c r="B79" s="1" t="s">
        <v>180</v>
      </c>
      <c r="C79" s="1" t="s">
        <v>181</v>
      </c>
      <c r="D79" s="13">
        <f t="shared" si="37"/>
        <v>0.83202651515151527</v>
      </c>
      <c r="E79" s="5">
        <v>4393.1000000000004</v>
      </c>
      <c r="F79" s="27">
        <f t="shared" si="38"/>
        <v>0.20401515151515151</v>
      </c>
      <c r="G79" s="28">
        <v>1077.2</v>
      </c>
      <c r="H79" s="54">
        <f t="shared" si="39"/>
        <v>0.20801136363636363</v>
      </c>
      <c r="I79" s="55">
        <v>1098.3</v>
      </c>
      <c r="J79" s="13">
        <f t="shared" si="40"/>
        <v>1.6640530303030305</v>
      </c>
      <c r="K79" s="5">
        <v>8786.2000000000007</v>
      </c>
      <c r="L79" s="64">
        <f>M79/5280</f>
        <v>0</v>
      </c>
      <c r="M79" s="65"/>
    </row>
    <row r="80" spans="1:74" ht="15.75" thickBot="1" x14ac:dyDescent="0.3">
      <c r="A80" s="26" t="s">
        <v>113</v>
      </c>
      <c r="B80" s="26"/>
      <c r="C80" s="26"/>
      <c r="D80" s="34"/>
      <c r="E80" s="35"/>
      <c r="F80" s="45"/>
      <c r="G80" s="46"/>
      <c r="H80" s="52"/>
      <c r="I80" s="53"/>
      <c r="J80" s="34"/>
      <c r="K80" s="35"/>
      <c r="L80" s="62"/>
      <c r="M80" s="63"/>
    </row>
    <row r="81" spans="1:31" x14ac:dyDescent="0.25">
      <c r="A81" s="14"/>
      <c r="B81" s="1" t="s">
        <v>84</v>
      </c>
      <c r="C81" s="1" t="s">
        <v>272</v>
      </c>
      <c r="D81" s="13">
        <f>E81/5280</f>
        <v>2.6959999999999997</v>
      </c>
      <c r="E81" s="5">
        <v>14234.88</v>
      </c>
      <c r="F81" s="27">
        <f>G81/5280</f>
        <v>6.2057424242424242</v>
      </c>
      <c r="G81" s="28">
        <f>13960.32+3600+15206</f>
        <v>32766.32</v>
      </c>
      <c r="H81" s="54">
        <f>I81/5280</f>
        <v>0.50082575757575765</v>
      </c>
      <c r="I81" s="55">
        <f>2241.36+403</f>
        <v>2644.36</v>
      </c>
      <c r="J81" s="13">
        <f>K81/5280</f>
        <v>7.5999999999999998E-2</v>
      </c>
      <c r="K81" s="5">
        <v>401.28</v>
      </c>
      <c r="L81" s="64">
        <f>M81/5280</f>
        <v>0</v>
      </c>
      <c r="M81" s="65"/>
    </row>
    <row r="82" spans="1:31" ht="15.75" thickBot="1" x14ac:dyDescent="0.3">
      <c r="A82" s="14"/>
      <c r="B82" s="1" t="s">
        <v>88</v>
      </c>
      <c r="C82" s="1" t="s">
        <v>161</v>
      </c>
      <c r="D82" s="13">
        <f>E82/5280</f>
        <v>4.4619886363636363</v>
      </c>
      <c r="E82" s="5">
        <v>23559.3</v>
      </c>
      <c r="F82" s="27">
        <f>G82/5280</f>
        <v>5.9119507575757577</v>
      </c>
      <c r="G82" s="28">
        <f>26215.1+5000</f>
        <v>31215.1</v>
      </c>
      <c r="H82" s="54">
        <f>I82/5280</f>
        <v>0.729280303030303</v>
      </c>
      <c r="I82" s="55">
        <v>3850.6</v>
      </c>
      <c r="J82" s="13">
        <f>K82/5280</f>
        <v>0</v>
      </c>
      <c r="K82" s="5"/>
      <c r="L82" s="64">
        <f>M82/5280</f>
        <v>0</v>
      </c>
      <c r="M82" s="65"/>
    </row>
    <row r="83" spans="1:31" ht="17.25" customHeight="1" thickBot="1" x14ac:dyDescent="0.3">
      <c r="A83" s="26" t="s">
        <v>114</v>
      </c>
      <c r="B83" s="26"/>
      <c r="C83" s="26"/>
      <c r="D83" s="34"/>
      <c r="E83" s="35"/>
      <c r="F83" s="45"/>
      <c r="G83" s="46"/>
      <c r="H83" s="52"/>
      <c r="I83" s="59"/>
      <c r="J83" s="34"/>
      <c r="K83" s="35"/>
      <c r="L83" s="70"/>
      <c r="M83" s="63"/>
    </row>
    <row r="84" spans="1:31" ht="17.25" customHeight="1" x14ac:dyDescent="0.25">
      <c r="B84" s="37" t="s">
        <v>52</v>
      </c>
      <c r="C84" s="36" t="s">
        <v>219</v>
      </c>
      <c r="D84" s="13">
        <f t="shared" ref="D84:D89" si="42">E84/5280</f>
        <v>0.85248106060606066</v>
      </c>
      <c r="E84" s="31">
        <f>3849.1+652</f>
        <v>4501.1000000000004</v>
      </c>
      <c r="F84" s="48">
        <f t="shared" ref="F84:F89" si="43">G84/5280</f>
        <v>1.5761742424242426</v>
      </c>
      <c r="G84" s="49">
        <f>7698.2+624</f>
        <v>8322.2000000000007</v>
      </c>
      <c r="H84" s="56">
        <f t="shared" ref="H84:H89" si="44">I84/5280</f>
        <v>0</v>
      </c>
      <c r="I84" s="56"/>
      <c r="J84" s="13">
        <f t="shared" ref="J84:J89" si="45">K84/5280</f>
        <v>0</v>
      </c>
      <c r="K84" s="5"/>
      <c r="L84" s="65">
        <f t="shared" ref="L84:L89" si="46">M84/5280</f>
        <v>0</v>
      </c>
      <c r="M84" s="65"/>
    </row>
    <row r="85" spans="1:31" ht="17.25" customHeight="1" x14ac:dyDescent="0.25">
      <c r="B85" s="1" t="s">
        <v>54</v>
      </c>
      <c r="C85" s="4" t="s">
        <v>55</v>
      </c>
      <c r="D85" s="31">
        <f t="shared" si="42"/>
        <v>0.34596022727272729</v>
      </c>
      <c r="E85" s="31">
        <v>1826.67</v>
      </c>
      <c r="F85" s="27">
        <f t="shared" si="43"/>
        <v>2.1140189393939393</v>
      </c>
      <c r="G85" s="28">
        <v>11162.02</v>
      </c>
      <c r="H85" s="56">
        <f t="shared" si="44"/>
        <v>0.69325000000000003</v>
      </c>
      <c r="I85" s="56">
        <v>3660.36</v>
      </c>
      <c r="J85" s="13">
        <f t="shared" si="45"/>
        <v>0</v>
      </c>
      <c r="K85" s="5"/>
      <c r="L85" s="65">
        <f t="shared" si="46"/>
        <v>0</v>
      </c>
      <c r="M85" s="65"/>
    </row>
    <row r="86" spans="1:31" ht="17.25" customHeight="1" x14ac:dyDescent="0.25">
      <c r="B86" s="1" t="s">
        <v>46</v>
      </c>
      <c r="C86" s="4" t="s">
        <v>150</v>
      </c>
      <c r="D86" s="31">
        <f t="shared" si="42"/>
        <v>4.3139393939393935</v>
      </c>
      <c r="E86" s="31">
        <v>22777.599999999999</v>
      </c>
      <c r="F86" s="27">
        <f t="shared" si="43"/>
        <v>4.7724431818181818</v>
      </c>
      <c r="G86" s="28">
        <f>22798.5+2400</f>
        <v>25198.5</v>
      </c>
      <c r="H86" s="56">
        <f t="shared" si="44"/>
        <v>0.69553030303030305</v>
      </c>
      <c r="I86" s="56">
        <v>3672.4</v>
      </c>
      <c r="J86" s="13">
        <f t="shared" si="45"/>
        <v>0.88992424242424251</v>
      </c>
      <c r="K86" s="5">
        <v>4698.8</v>
      </c>
      <c r="L86" s="65">
        <f t="shared" si="46"/>
        <v>0</v>
      </c>
      <c r="M86" s="65"/>
    </row>
    <row r="87" spans="1:31" ht="17.25" customHeight="1" x14ac:dyDescent="0.25">
      <c r="B87" s="1" t="s">
        <v>50</v>
      </c>
      <c r="C87" s="4" t="s">
        <v>51</v>
      </c>
      <c r="D87" s="31">
        <f t="shared" si="42"/>
        <v>0.67801136363636361</v>
      </c>
      <c r="E87" s="31">
        <v>3579.9</v>
      </c>
      <c r="F87" s="27">
        <f t="shared" si="43"/>
        <v>1.3560227272727272</v>
      </c>
      <c r="G87" s="28">
        <v>7159.8</v>
      </c>
      <c r="H87" s="56">
        <f t="shared" si="44"/>
        <v>0</v>
      </c>
      <c r="I87" s="56"/>
      <c r="J87" s="13">
        <f t="shared" si="45"/>
        <v>1.2820075757575757</v>
      </c>
      <c r="K87" s="5">
        <v>6769</v>
      </c>
      <c r="L87" s="65">
        <f t="shared" si="46"/>
        <v>0</v>
      </c>
      <c r="M87" s="65"/>
    </row>
    <row r="88" spans="1:31" x14ac:dyDescent="0.25">
      <c r="B88" s="1" t="s">
        <v>50</v>
      </c>
      <c r="C88" s="4" t="s">
        <v>53</v>
      </c>
      <c r="D88" s="31">
        <f t="shared" si="42"/>
        <v>3.5959659090909093</v>
      </c>
      <c r="E88" s="31">
        <v>18986.7</v>
      </c>
      <c r="F88" s="27">
        <f t="shared" si="43"/>
        <v>2.8299621212121213</v>
      </c>
      <c r="G88" s="28">
        <v>14942.2</v>
      </c>
      <c r="H88" s="56">
        <f t="shared" si="44"/>
        <v>0.71327651515151513</v>
      </c>
      <c r="I88" s="56">
        <v>3766.1</v>
      </c>
      <c r="J88" s="13">
        <f t="shared" si="45"/>
        <v>0</v>
      </c>
      <c r="K88" s="5"/>
      <c r="L88" s="65">
        <f t="shared" si="46"/>
        <v>0</v>
      </c>
      <c r="M88" s="65"/>
    </row>
    <row r="89" spans="1:31" ht="15.75" thickBot="1" x14ac:dyDescent="0.3">
      <c r="A89" s="14"/>
      <c r="B89" s="1" t="s">
        <v>49</v>
      </c>
      <c r="C89" s="1" t="s">
        <v>151</v>
      </c>
      <c r="D89" s="13">
        <f t="shared" si="42"/>
        <v>0.50602272727272735</v>
      </c>
      <c r="E89" s="5">
        <v>2671.8</v>
      </c>
      <c r="F89" s="27">
        <f t="shared" si="43"/>
        <v>0.6070075757575758</v>
      </c>
      <c r="G89" s="28">
        <v>3205</v>
      </c>
      <c r="H89" s="54">
        <f t="shared" si="44"/>
        <v>6.5265151515151526E-2</v>
      </c>
      <c r="I89" s="55">
        <v>344.6</v>
      </c>
      <c r="J89" s="13">
        <f t="shared" si="45"/>
        <v>0</v>
      </c>
      <c r="K89" s="5"/>
      <c r="L89" s="64">
        <f t="shared" si="46"/>
        <v>0</v>
      </c>
      <c r="M89" s="65"/>
    </row>
    <row r="90" spans="1:31" ht="17.25" customHeight="1" thickBot="1" x14ac:dyDescent="0.3">
      <c r="A90" s="26" t="s">
        <v>115</v>
      </c>
      <c r="B90" s="26"/>
      <c r="C90" s="26"/>
      <c r="D90" s="34"/>
      <c r="E90" s="35"/>
      <c r="F90" s="45"/>
      <c r="G90" s="46"/>
      <c r="H90" s="52"/>
      <c r="I90" s="59"/>
      <c r="J90" s="34"/>
      <c r="K90" s="35"/>
      <c r="L90" s="70"/>
      <c r="M90" s="63"/>
    </row>
    <row r="91" spans="1:31" ht="17.25" customHeight="1" x14ac:dyDescent="0.25">
      <c r="A91" s="14"/>
      <c r="B91" s="1" t="s">
        <v>16</v>
      </c>
      <c r="C91" s="1" t="s">
        <v>240</v>
      </c>
      <c r="D91" s="13"/>
      <c r="E91" s="5"/>
      <c r="F91" s="27">
        <f t="shared" si="38"/>
        <v>1.8670454545454545</v>
      </c>
      <c r="G91" s="28">
        <v>9858</v>
      </c>
      <c r="H91" s="54">
        <f t="shared" si="39"/>
        <v>0.26534090909090907</v>
      </c>
      <c r="I91" s="55">
        <v>1401</v>
      </c>
      <c r="J91" s="13"/>
      <c r="K91" s="5"/>
      <c r="L91" s="64"/>
      <c r="M91" s="65"/>
    </row>
    <row r="92" spans="1:31" ht="17.25" customHeight="1" x14ac:dyDescent="0.25">
      <c r="A92" s="14"/>
      <c r="B92" s="1" t="s">
        <v>52</v>
      </c>
      <c r="C92" s="1" t="s">
        <v>124</v>
      </c>
      <c r="D92" s="13"/>
      <c r="E92" s="5"/>
      <c r="F92" s="27">
        <f t="shared" si="38"/>
        <v>2.8674242424242422</v>
      </c>
      <c r="G92" s="28">
        <v>15140</v>
      </c>
      <c r="H92" s="54">
        <f t="shared" si="39"/>
        <v>0.10662878787878788</v>
      </c>
      <c r="I92" s="55">
        <v>563</v>
      </c>
      <c r="J92" s="13"/>
      <c r="K92" s="5"/>
      <c r="L92" s="64"/>
      <c r="M92" s="65"/>
    </row>
    <row r="93" spans="1:31" ht="17.25" customHeight="1" x14ac:dyDescent="0.25">
      <c r="A93" s="14"/>
      <c r="B93" s="1" t="s">
        <v>125</v>
      </c>
      <c r="C93" s="1" t="s">
        <v>169</v>
      </c>
      <c r="D93" s="13">
        <f t="shared" si="37"/>
        <v>2.014034090909091</v>
      </c>
      <c r="E93" s="5">
        <v>10634.1</v>
      </c>
      <c r="F93" s="27">
        <f t="shared" si="38"/>
        <v>1.8480303030303031</v>
      </c>
      <c r="G93" s="28">
        <v>9757.6</v>
      </c>
      <c r="H93" s="54">
        <f t="shared" si="39"/>
        <v>0.33926136363636361</v>
      </c>
      <c r="I93" s="55">
        <v>1791.3</v>
      </c>
      <c r="J93" s="13">
        <f t="shared" ref="J93:J97" si="47">K93/5280</f>
        <v>4.2173863636363631</v>
      </c>
      <c r="K93" s="5">
        <f>11964.8+5403+4900</f>
        <v>22267.8</v>
      </c>
      <c r="L93" s="64">
        <f>M93/5280</f>
        <v>0</v>
      </c>
      <c r="M93" s="66"/>
    </row>
    <row r="94" spans="1:31" s="32" customFormat="1" x14ac:dyDescent="0.25">
      <c r="A94" s="14"/>
      <c r="B94" s="1" t="s">
        <v>96</v>
      </c>
      <c r="C94" s="1" t="s">
        <v>98</v>
      </c>
      <c r="D94" s="13">
        <f t="shared" si="37"/>
        <v>4.8940530303030298</v>
      </c>
      <c r="E94" s="5">
        <v>25840.6</v>
      </c>
      <c r="F94" s="27">
        <f t="shared" si="38"/>
        <v>6.2170454545454543</v>
      </c>
      <c r="G94" s="28">
        <v>32826</v>
      </c>
      <c r="H94" s="54">
        <f t="shared" si="39"/>
        <v>0.61850378787878779</v>
      </c>
      <c r="I94" s="55">
        <v>3265.7</v>
      </c>
      <c r="J94" s="13">
        <f t="shared" si="47"/>
        <v>0</v>
      </c>
      <c r="K94" s="5">
        <v>0</v>
      </c>
      <c r="L94" s="64">
        <f t="shared" ref="L94:L97" si="48">M94/5280</f>
        <v>0</v>
      </c>
      <c r="M94" s="65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</row>
    <row r="95" spans="1:31" s="32" customFormat="1" x14ac:dyDescent="0.25">
      <c r="A95" s="14"/>
      <c r="B95" s="1" t="s">
        <v>101</v>
      </c>
      <c r="C95" s="1" t="s">
        <v>102</v>
      </c>
      <c r="D95" s="13">
        <f t="shared" si="37"/>
        <v>1.5069696969696971</v>
      </c>
      <c r="E95" s="5">
        <v>7956.8</v>
      </c>
      <c r="F95" s="27">
        <f t="shared" si="38"/>
        <v>1.3252840909090908</v>
      </c>
      <c r="G95" s="28">
        <f>5897.5+1100</f>
        <v>6997.5</v>
      </c>
      <c r="H95" s="54">
        <f t="shared" si="39"/>
        <v>0.30401515151515152</v>
      </c>
      <c r="I95" s="55">
        <v>1605.2</v>
      </c>
      <c r="J95" s="13">
        <f t="shared" si="47"/>
        <v>0</v>
      </c>
      <c r="K95" s="5"/>
      <c r="L95" s="64">
        <f t="shared" si="48"/>
        <v>0</v>
      </c>
      <c r="M95" s="6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</row>
    <row r="96" spans="1:31" x14ac:dyDescent="0.25">
      <c r="A96" s="14"/>
      <c r="B96" s="1" t="s">
        <v>52</v>
      </c>
      <c r="C96" s="1" t="s">
        <v>160</v>
      </c>
      <c r="D96" s="13">
        <f t="shared" si="37"/>
        <v>1.5170075757575758</v>
      </c>
      <c r="E96" s="5">
        <v>8009.8</v>
      </c>
      <c r="F96" s="27">
        <f t="shared" si="38"/>
        <v>1.6630113636363637</v>
      </c>
      <c r="G96" s="28">
        <v>8780.7000000000007</v>
      </c>
      <c r="H96" s="54">
        <f t="shared" si="39"/>
        <v>0.20725378787878787</v>
      </c>
      <c r="I96" s="55">
        <v>1094.3</v>
      </c>
      <c r="J96" s="13">
        <f t="shared" si="47"/>
        <v>6.0189393939393938E-2</v>
      </c>
      <c r="K96" s="5">
        <v>317.8</v>
      </c>
      <c r="L96" s="64">
        <f t="shared" si="48"/>
        <v>0</v>
      </c>
      <c r="M96" s="65"/>
    </row>
    <row r="97" spans="1:13" x14ac:dyDescent="0.25">
      <c r="A97" s="14"/>
      <c r="B97" s="1" t="s">
        <v>96</v>
      </c>
      <c r="C97" s="1" t="s">
        <v>97</v>
      </c>
      <c r="D97" s="13">
        <f t="shared" si="37"/>
        <v>1.611003787878788</v>
      </c>
      <c r="E97" s="5">
        <v>8506.1</v>
      </c>
      <c r="F97" s="27">
        <f t="shared" si="38"/>
        <v>1.1520075757575758</v>
      </c>
      <c r="G97" s="28">
        <v>6082.6</v>
      </c>
      <c r="H97" s="54">
        <f t="shared" si="39"/>
        <v>0.27249999999999996</v>
      </c>
      <c r="I97" s="55">
        <v>1438.8</v>
      </c>
      <c r="J97" s="13">
        <f t="shared" si="47"/>
        <v>0</v>
      </c>
      <c r="K97" s="5"/>
      <c r="L97" s="64">
        <f t="shared" si="48"/>
        <v>0</v>
      </c>
      <c r="M97" s="65"/>
    </row>
    <row r="98" spans="1:13" ht="15.75" thickBot="1" x14ac:dyDescent="0.3">
      <c r="A98" s="14"/>
      <c r="B98" s="1" t="s">
        <v>99</v>
      </c>
      <c r="C98" s="1" t="s">
        <v>274</v>
      </c>
      <c r="D98" s="2"/>
      <c r="E98" s="3"/>
      <c r="F98" s="27">
        <f t="shared" si="38"/>
        <v>0.97253787878787878</v>
      </c>
      <c r="G98" s="28">
        <v>5135</v>
      </c>
      <c r="H98" s="54">
        <f t="shared" si="39"/>
        <v>0.34734848484848485</v>
      </c>
      <c r="I98" s="55">
        <v>1834</v>
      </c>
      <c r="J98" s="2"/>
      <c r="K98" s="3"/>
      <c r="L98" s="64"/>
      <c r="M98" s="69"/>
    </row>
    <row r="99" spans="1:13" ht="17.25" customHeight="1" thickBot="1" x14ac:dyDescent="0.3">
      <c r="A99" s="26" t="s">
        <v>116</v>
      </c>
      <c r="B99" s="26"/>
      <c r="C99" s="26"/>
      <c r="D99" s="34"/>
      <c r="E99" s="35"/>
      <c r="F99" s="45"/>
      <c r="G99" s="46"/>
      <c r="H99" s="52"/>
      <c r="I99" s="53"/>
      <c r="J99" s="34"/>
      <c r="K99" s="35"/>
      <c r="L99" s="62"/>
      <c r="M99" s="63"/>
    </row>
    <row r="100" spans="1:13" ht="17.25" customHeight="1" x14ac:dyDescent="0.25">
      <c r="A100" s="14"/>
      <c r="B100" s="37" t="s">
        <v>56</v>
      </c>
      <c r="C100" s="37" t="s">
        <v>117</v>
      </c>
      <c r="D100" s="38">
        <f>E100/5280</f>
        <v>2.2599999999999998</v>
      </c>
      <c r="E100" s="39">
        <v>11932.8</v>
      </c>
      <c r="F100" s="48">
        <f t="shared" ref="F100:F104" si="49">G100/5280</f>
        <v>0.14400000000000002</v>
      </c>
      <c r="G100" s="49">
        <v>760.32</v>
      </c>
      <c r="H100" s="57">
        <f t="shared" ref="H100:H104" si="50">I100/5280</f>
        <v>0.56499999999999995</v>
      </c>
      <c r="I100" s="58">
        <v>2983.2</v>
      </c>
      <c r="J100" s="38">
        <f t="shared" ref="J100:J104" si="51">K100/5280</f>
        <v>0</v>
      </c>
      <c r="K100" s="39"/>
      <c r="L100" s="67">
        <f t="shared" ref="L100:L104" si="52">M100/5280</f>
        <v>0</v>
      </c>
      <c r="M100" s="68"/>
    </row>
    <row r="101" spans="1:13" ht="17.25" customHeight="1" x14ac:dyDescent="0.25">
      <c r="A101" s="14"/>
      <c r="B101" s="1" t="s">
        <v>59</v>
      </c>
      <c r="C101" s="1" t="s">
        <v>163</v>
      </c>
      <c r="D101" s="13">
        <f>E101/5280</f>
        <v>3.5729924242424245</v>
      </c>
      <c r="E101" s="5">
        <v>18865.400000000001</v>
      </c>
      <c r="F101" s="27">
        <f t="shared" si="49"/>
        <v>6.4180984848484846</v>
      </c>
      <c r="G101" s="28">
        <f>26753.56+7134</f>
        <v>33887.56</v>
      </c>
      <c r="H101" s="54">
        <f t="shared" si="50"/>
        <v>0.82910984848484848</v>
      </c>
      <c r="I101" s="55">
        <f>1586+2791.7</f>
        <v>4377.7</v>
      </c>
      <c r="J101" s="13">
        <f t="shared" si="51"/>
        <v>0</v>
      </c>
      <c r="K101" s="5"/>
      <c r="L101" s="64">
        <f t="shared" si="52"/>
        <v>0</v>
      </c>
      <c r="M101" s="65"/>
    </row>
    <row r="102" spans="1:13" x14ac:dyDescent="0.25">
      <c r="A102" s="14" t="s">
        <v>275</v>
      </c>
      <c r="B102" s="1" t="s">
        <v>39</v>
      </c>
      <c r="C102" s="1" t="s">
        <v>121</v>
      </c>
      <c r="D102" s="13">
        <f>E102/5280</f>
        <v>0.99899621212121203</v>
      </c>
      <c r="E102" s="5">
        <v>5274.7</v>
      </c>
      <c r="F102" s="27">
        <f t="shared" si="49"/>
        <v>0.92198863636363648</v>
      </c>
      <c r="G102" s="28">
        <v>4868.1000000000004</v>
      </c>
      <c r="H102" s="54">
        <f t="shared" si="50"/>
        <v>0.15899621212121212</v>
      </c>
      <c r="I102" s="55">
        <v>839.5</v>
      </c>
      <c r="J102" s="13">
        <f t="shared" si="51"/>
        <v>0</v>
      </c>
      <c r="K102" s="5"/>
      <c r="L102" s="64">
        <f t="shared" si="52"/>
        <v>0</v>
      </c>
      <c r="M102" s="65"/>
    </row>
    <row r="103" spans="1:13" x14ac:dyDescent="0.25">
      <c r="A103" s="14"/>
      <c r="B103" s="1" t="s">
        <v>118</v>
      </c>
      <c r="C103" s="1" t="s">
        <v>119</v>
      </c>
      <c r="D103" s="13">
        <f>E103/5280</f>
        <v>0.999</v>
      </c>
      <c r="E103" s="5">
        <v>5274.72</v>
      </c>
      <c r="F103" s="27">
        <f t="shared" si="49"/>
        <v>1.0619999999999998</v>
      </c>
      <c r="G103" s="28">
        <v>5607.36</v>
      </c>
      <c r="H103" s="54">
        <f t="shared" si="50"/>
        <v>0.22850000000000001</v>
      </c>
      <c r="I103" s="55">
        <v>1206.48</v>
      </c>
      <c r="J103" s="13">
        <f t="shared" si="51"/>
        <v>0</v>
      </c>
      <c r="K103" s="5"/>
      <c r="L103" s="64">
        <f t="shared" si="52"/>
        <v>0</v>
      </c>
      <c r="M103" s="65"/>
    </row>
    <row r="104" spans="1:13" ht="15.75" thickBot="1" x14ac:dyDescent="0.3">
      <c r="A104" s="14" t="s">
        <v>275</v>
      </c>
      <c r="B104" s="1" t="s">
        <v>120</v>
      </c>
      <c r="C104" s="1" t="s">
        <v>243</v>
      </c>
      <c r="D104" s="13">
        <f>E104/5280</f>
        <v>2.9510227272727274</v>
      </c>
      <c r="E104" s="5">
        <v>15581.4</v>
      </c>
      <c r="F104" s="27">
        <f t="shared" si="49"/>
        <v>1.0268939393939394</v>
      </c>
      <c r="G104" s="28">
        <v>5422</v>
      </c>
      <c r="H104" s="54">
        <f t="shared" si="50"/>
        <v>0.29356060606060608</v>
      </c>
      <c r="I104" s="55">
        <v>1550</v>
      </c>
      <c r="J104" s="13">
        <f t="shared" si="51"/>
        <v>0</v>
      </c>
      <c r="K104" s="5"/>
      <c r="L104" s="64">
        <f t="shared" si="52"/>
        <v>0</v>
      </c>
      <c r="M104" s="65"/>
    </row>
    <row r="105" spans="1:13" ht="17.25" customHeight="1" thickBot="1" x14ac:dyDescent="0.3">
      <c r="A105" s="26" t="s">
        <v>218</v>
      </c>
      <c r="B105" s="26"/>
      <c r="C105" s="26"/>
      <c r="D105" s="34"/>
      <c r="E105" s="35"/>
      <c r="F105" s="45"/>
      <c r="G105" s="46"/>
      <c r="H105" s="52"/>
      <c r="I105" s="53"/>
      <c r="J105" s="34"/>
      <c r="K105" s="35"/>
      <c r="L105" s="62"/>
      <c r="M105" s="63"/>
    </row>
    <row r="106" spans="1:13" x14ac:dyDescent="0.25">
      <c r="A106" s="14" t="s">
        <v>284</v>
      </c>
      <c r="B106" s="37" t="s">
        <v>125</v>
      </c>
      <c r="C106" s="37" t="s">
        <v>126</v>
      </c>
      <c r="D106" s="38">
        <f t="shared" ref="D106:D107" si="53">E106/5280</f>
        <v>2.004003787878788</v>
      </c>
      <c r="E106" s="39">
        <f>6605.3+3975.84</f>
        <v>10581.14</v>
      </c>
      <c r="F106" s="48">
        <f t="shared" ref="F106:F107" si="54">G106/5280</f>
        <v>3.9149204545454541</v>
      </c>
      <c r="G106" s="49">
        <f>9599.1+3120+7951.68</f>
        <v>20670.78</v>
      </c>
      <c r="H106" s="57">
        <f t="shared" ref="H106:H107" si="55">I106/5280</f>
        <v>0.12600378787878788</v>
      </c>
      <c r="I106" s="58">
        <v>665.3</v>
      </c>
      <c r="J106" s="38">
        <f t="shared" ref="J106:J107" si="56">K106/5280</f>
        <v>0</v>
      </c>
      <c r="K106" s="39"/>
      <c r="L106" s="67">
        <f t="shared" ref="L106:L107" si="57">M106/5280</f>
        <v>0</v>
      </c>
      <c r="M106" s="68"/>
    </row>
    <row r="107" spans="1:13" x14ac:dyDescent="0.25">
      <c r="A107" s="14" t="s">
        <v>284</v>
      </c>
      <c r="B107" s="1" t="s">
        <v>6</v>
      </c>
      <c r="C107" s="1" t="s">
        <v>122</v>
      </c>
      <c r="D107" s="13">
        <f t="shared" si="53"/>
        <v>1.9349810606060607</v>
      </c>
      <c r="E107" s="5">
        <v>10216.700000000001</v>
      </c>
      <c r="F107" s="27">
        <f t="shared" si="54"/>
        <v>4.4046590909090906</v>
      </c>
      <c r="G107" s="28">
        <v>23256.6</v>
      </c>
      <c r="H107" s="54">
        <f t="shared" si="55"/>
        <v>0.27376893939393937</v>
      </c>
      <c r="I107" s="55">
        <f>1445.5</f>
        <v>1445.5</v>
      </c>
      <c r="J107" s="13">
        <f t="shared" si="56"/>
        <v>6.0760227272727274</v>
      </c>
      <c r="K107" s="5">
        <v>32081.4</v>
      </c>
      <c r="L107" s="64">
        <f t="shared" si="57"/>
        <v>0</v>
      </c>
      <c r="M107" s="65">
        <v>0</v>
      </c>
    </row>
    <row r="108" spans="1:13" x14ac:dyDescent="0.25">
      <c r="A108" s="14"/>
      <c r="B108" s="1" t="s">
        <v>90</v>
      </c>
      <c r="C108" s="1" t="s">
        <v>226</v>
      </c>
      <c r="D108" s="13">
        <f t="shared" ref="D108:D136" si="58">E108/5280</f>
        <v>1.013996212121212</v>
      </c>
      <c r="E108" s="5">
        <v>5353.9</v>
      </c>
      <c r="F108" s="27">
        <f t="shared" ref="F108:F136" si="59">G108/5280</f>
        <v>4.8658901515151518</v>
      </c>
      <c r="G108" s="28">
        <v>25691.9</v>
      </c>
      <c r="H108" s="54">
        <f t="shared" ref="H108:H127" si="60">I108/5280</f>
        <v>0.14609848484848484</v>
      </c>
      <c r="I108" s="55">
        <v>771.4</v>
      </c>
      <c r="J108" s="13">
        <f t="shared" ref="J108:J127" si="61">K108/5280</f>
        <v>0</v>
      </c>
      <c r="K108" s="5"/>
      <c r="L108" s="64">
        <f>M108/5280</f>
        <v>0</v>
      </c>
      <c r="M108" s="65"/>
    </row>
    <row r="109" spans="1:13" x14ac:dyDescent="0.25">
      <c r="A109" s="14" t="s">
        <v>284</v>
      </c>
      <c r="B109" s="1" t="s">
        <v>61</v>
      </c>
      <c r="C109" s="1" t="s">
        <v>165</v>
      </c>
      <c r="D109" s="2">
        <f>E109/5280</f>
        <v>5.5790151515151516</v>
      </c>
      <c r="E109" s="3">
        <v>29457.200000000001</v>
      </c>
      <c r="F109" s="27">
        <f>G109/5280</f>
        <v>9.2824621212121219</v>
      </c>
      <c r="G109" s="28">
        <f>42245.4+6766</f>
        <v>49011.4</v>
      </c>
      <c r="H109" s="54">
        <f>I109/5280</f>
        <v>0.64075757575757575</v>
      </c>
      <c r="I109" s="55">
        <v>3383.2</v>
      </c>
      <c r="J109" s="2">
        <f>K109/5280</f>
        <v>0</v>
      </c>
      <c r="K109" s="3"/>
      <c r="L109" s="64">
        <f>M109/5280</f>
        <v>0</v>
      </c>
      <c r="M109" s="66"/>
    </row>
    <row r="110" spans="1:13" x14ac:dyDescent="0.25">
      <c r="A110" s="14" t="s">
        <v>284</v>
      </c>
      <c r="B110" s="1" t="s">
        <v>159</v>
      </c>
      <c r="C110" s="1" t="s">
        <v>280</v>
      </c>
      <c r="D110" s="13"/>
      <c r="E110" s="5"/>
      <c r="F110" s="27">
        <f t="shared" ref="F110:F111" si="62">G110/5280</f>
        <v>2.3280303030303031</v>
      </c>
      <c r="G110" s="28">
        <f>6146*2</f>
        <v>12292</v>
      </c>
      <c r="H110" s="54">
        <f t="shared" ref="H110:H111" si="63">I110/5280</f>
        <v>0</v>
      </c>
      <c r="I110" s="55"/>
      <c r="J110" s="13"/>
      <c r="K110" s="5"/>
      <c r="L110" s="64"/>
      <c r="M110" s="65"/>
    </row>
    <row r="111" spans="1:13" x14ac:dyDescent="0.25">
      <c r="A111" s="14" t="s">
        <v>284</v>
      </c>
      <c r="B111" s="1" t="s">
        <v>281</v>
      </c>
      <c r="C111" s="1" t="s">
        <v>282</v>
      </c>
      <c r="D111" s="13"/>
      <c r="E111" s="5"/>
      <c r="F111" s="27">
        <f t="shared" si="62"/>
        <v>1.0861742424242424</v>
      </c>
      <c r="G111" s="28">
        <v>5735</v>
      </c>
      <c r="H111" s="54">
        <f t="shared" si="63"/>
        <v>7.8598484848484848E-2</v>
      </c>
      <c r="I111" s="55">
        <v>415</v>
      </c>
      <c r="J111" s="13"/>
      <c r="K111" s="5"/>
      <c r="L111" s="64"/>
      <c r="M111" s="65"/>
    </row>
    <row r="112" spans="1:13" ht="15.75" thickBot="1" x14ac:dyDescent="0.3">
      <c r="A112" s="14"/>
      <c r="B112" s="1"/>
      <c r="C112" s="1"/>
      <c r="D112" s="13"/>
      <c r="E112" s="5"/>
      <c r="F112" s="27"/>
      <c r="G112" s="28"/>
      <c r="H112" s="54"/>
      <c r="I112" s="55"/>
      <c r="J112" s="13"/>
      <c r="K112" s="5"/>
      <c r="L112" s="64"/>
      <c r="M112" s="65"/>
    </row>
    <row r="113" spans="1:13" ht="17.25" customHeight="1" thickBot="1" x14ac:dyDescent="0.3">
      <c r="A113" s="26" t="s">
        <v>128</v>
      </c>
      <c r="B113" s="26"/>
      <c r="C113" s="26"/>
      <c r="D113" s="34"/>
      <c r="E113" s="35"/>
      <c r="F113" s="45"/>
      <c r="G113" s="46"/>
      <c r="H113" s="52"/>
      <c r="I113" s="53"/>
      <c r="J113" s="34"/>
      <c r="K113" s="35"/>
      <c r="L113" s="62"/>
      <c r="M113" s="63"/>
    </row>
    <row r="114" spans="1:13" x14ac:dyDescent="0.25">
      <c r="A114" s="14"/>
      <c r="B114" s="1" t="s">
        <v>75</v>
      </c>
      <c r="C114" s="1" t="s">
        <v>187</v>
      </c>
      <c r="D114" s="13">
        <f>E114/5280</f>
        <v>3.7970340909090909</v>
      </c>
      <c r="E114" s="5">
        <f>22751.7-2703.36</f>
        <v>20048.34</v>
      </c>
      <c r="F114" s="27">
        <f>G114/5280</f>
        <v>3.7100189393939389</v>
      </c>
      <c r="G114" s="28">
        <f>20803.3-1214.4</f>
        <v>19588.899999999998</v>
      </c>
      <c r="H114" s="54">
        <f>I114/5280</f>
        <v>0.56774242424242427</v>
      </c>
      <c r="I114" s="55">
        <f>3525.8-528.12</f>
        <v>2997.6800000000003</v>
      </c>
      <c r="J114" s="13">
        <f>K114/5280</f>
        <v>7.7598295454545454</v>
      </c>
      <c r="K114" s="5">
        <f>46416.9-5445</f>
        <v>40971.9</v>
      </c>
      <c r="L114" s="64">
        <f>M114/5280</f>
        <v>0</v>
      </c>
      <c r="M114" s="65"/>
    </row>
    <row r="115" spans="1:13" x14ac:dyDescent="0.25">
      <c r="A115" s="14"/>
      <c r="B115" s="1" t="s">
        <v>19</v>
      </c>
      <c r="C115" s="1" t="s">
        <v>77</v>
      </c>
      <c r="D115" s="13">
        <f t="shared" ref="D115:D120" si="64">E115/5280</f>
        <v>0.8520075757575758</v>
      </c>
      <c r="E115" s="5">
        <v>4498.6000000000004</v>
      </c>
      <c r="F115" s="27">
        <f t="shared" ref="F115:F120" si="65">G115/5280</f>
        <v>1.2110227272727272</v>
      </c>
      <c r="G115" s="28">
        <v>6394.2</v>
      </c>
      <c r="H115" s="54">
        <f t="shared" ref="H115:H120" si="66">I115/5280</f>
        <v>8.6268939393939398E-2</v>
      </c>
      <c r="I115" s="55">
        <v>455.5</v>
      </c>
      <c r="J115" s="13">
        <f t="shared" ref="J115:J120" si="67">K115/5280</f>
        <v>1.7040151515151516</v>
      </c>
      <c r="K115" s="5">
        <v>8997.2000000000007</v>
      </c>
      <c r="L115" s="64">
        <f t="shared" ref="L115:L119" si="68">M115/5280</f>
        <v>0</v>
      </c>
      <c r="M115" s="65"/>
    </row>
    <row r="116" spans="1:13" x14ac:dyDescent="0.25">
      <c r="A116" s="14"/>
      <c r="B116" s="1" t="s">
        <v>19</v>
      </c>
      <c r="C116" s="1" t="s">
        <v>154</v>
      </c>
      <c r="D116" s="13">
        <f t="shared" si="64"/>
        <v>0.34301136363636364</v>
      </c>
      <c r="E116" s="5">
        <v>1811.1</v>
      </c>
      <c r="F116" s="27">
        <f t="shared" si="65"/>
        <v>0.57204545454545452</v>
      </c>
      <c r="G116" s="28">
        <v>3020.4</v>
      </c>
      <c r="H116" s="54">
        <f t="shared" si="66"/>
        <v>0</v>
      </c>
      <c r="I116" s="55"/>
      <c r="J116" s="13">
        <f t="shared" si="67"/>
        <v>0.7980113636363636</v>
      </c>
      <c r="K116" s="5">
        <v>4213.5</v>
      </c>
      <c r="L116" s="64">
        <f t="shared" si="68"/>
        <v>0</v>
      </c>
      <c r="M116" s="65"/>
    </row>
    <row r="117" spans="1:13" x14ac:dyDescent="0.25">
      <c r="A117" s="14"/>
      <c r="B117" s="1" t="s">
        <v>78</v>
      </c>
      <c r="C117" s="1" t="s">
        <v>79</v>
      </c>
      <c r="D117" s="13">
        <f t="shared" si="64"/>
        <v>1.379034090909091</v>
      </c>
      <c r="E117" s="5">
        <v>7281.3</v>
      </c>
      <c r="F117" s="27">
        <f t="shared" si="65"/>
        <v>1.5740340909090909</v>
      </c>
      <c r="G117" s="28">
        <v>8310.9</v>
      </c>
      <c r="H117" s="54">
        <f t="shared" si="66"/>
        <v>0.16325757575757577</v>
      </c>
      <c r="I117" s="55">
        <v>862</v>
      </c>
      <c r="J117" s="13">
        <f t="shared" si="67"/>
        <v>1.8401515151515151</v>
      </c>
      <c r="K117" s="5">
        <f>1716+8000</f>
        <v>9716</v>
      </c>
      <c r="L117" s="64">
        <f t="shared" si="68"/>
        <v>0.12401515151515151</v>
      </c>
      <c r="M117" s="65">
        <v>654.79999999999995</v>
      </c>
    </row>
    <row r="118" spans="1:13" x14ac:dyDescent="0.25">
      <c r="A118" s="14"/>
      <c r="B118" s="1" t="s">
        <v>32</v>
      </c>
      <c r="C118" s="1" t="s">
        <v>81</v>
      </c>
      <c r="D118" s="13">
        <f t="shared" si="64"/>
        <v>2.1739962121212124</v>
      </c>
      <c r="E118" s="5">
        <v>11478.7</v>
      </c>
      <c r="F118" s="27">
        <f t="shared" si="65"/>
        <v>1.7221022727272728</v>
      </c>
      <c r="G118" s="28">
        <f>7592.7+1500</f>
        <v>9092.7000000000007</v>
      </c>
      <c r="H118" s="54">
        <f t="shared" si="66"/>
        <v>0.41452651515151512</v>
      </c>
      <c r="I118" s="55">
        <v>2188.6999999999998</v>
      </c>
      <c r="J118" s="13">
        <f t="shared" si="67"/>
        <v>0</v>
      </c>
      <c r="K118" s="5"/>
      <c r="L118" s="64">
        <f t="shared" si="68"/>
        <v>0</v>
      </c>
      <c r="M118" s="65"/>
    </row>
    <row r="119" spans="1:13" x14ac:dyDescent="0.25">
      <c r="A119" s="14" t="s">
        <v>277</v>
      </c>
      <c r="B119" s="1" t="s">
        <v>65</v>
      </c>
      <c r="C119" s="1" t="s">
        <v>156</v>
      </c>
      <c r="D119" s="13">
        <f t="shared" si="64"/>
        <v>1.4000189393939395</v>
      </c>
      <c r="E119" s="5">
        <v>7392.1</v>
      </c>
      <c r="F119" s="27">
        <f t="shared" si="65"/>
        <v>2.052007575757576</v>
      </c>
      <c r="G119" s="28">
        <v>10834.6</v>
      </c>
      <c r="H119" s="54">
        <f t="shared" si="66"/>
        <v>0</v>
      </c>
      <c r="I119" s="55"/>
      <c r="J119" s="13">
        <f t="shared" si="67"/>
        <v>2.2559848484848484</v>
      </c>
      <c r="K119" s="5">
        <v>11911.6</v>
      </c>
      <c r="L119" s="64">
        <f t="shared" si="68"/>
        <v>0</v>
      </c>
      <c r="M119" s="65"/>
    </row>
    <row r="120" spans="1:13" ht="15.75" thickBot="1" x14ac:dyDescent="0.3">
      <c r="A120" s="14"/>
      <c r="B120" s="1" t="s">
        <v>32</v>
      </c>
      <c r="C120" s="1" t="s">
        <v>138</v>
      </c>
      <c r="D120" s="13">
        <f t="shared" si="64"/>
        <v>0.127</v>
      </c>
      <c r="E120" s="5">
        <v>670.56</v>
      </c>
      <c r="F120" s="27">
        <f t="shared" si="65"/>
        <v>0.254</v>
      </c>
      <c r="G120" s="28">
        <v>1341.12</v>
      </c>
      <c r="H120" s="54">
        <f t="shared" si="66"/>
        <v>0</v>
      </c>
      <c r="I120" s="55"/>
      <c r="J120" s="13">
        <f t="shared" si="67"/>
        <v>0</v>
      </c>
      <c r="K120" s="5"/>
      <c r="L120" s="64"/>
      <c r="M120" s="65"/>
    </row>
    <row r="121" spans="1:13" ht="15.75" thickBot="1" x14ac:dyDescent="0.3">
      <c r="A121" s="26" t="s">
        <v>127</v>
      </c>
      <c r="B121" s="26"/>
      <c r="C121" s="26"/>
      <c r="D121" s="34"/>
      <c r="E121" s="35"/>
      <c r="F121" s="45"/>
      <c r="G121" s="46"/>
      <c r="H121" s="52"/>
      <c r="I121" s="53"/>
      <c r="J121" s="34"/>
      <c r="K121" s="35"/>
      <c r="L121" s="62"/>
      <c r="M121" s="63"/>
    </row>
    <row r="122" spans="1:13" ht="15.75" thickBot="1" x14ac:dyDescent="0.3">
      <c r="A122" s="14"/>
      <c r="B122" s="1" t="s">
        <v>93</v>
      </c>
      <c r="C122" s="1" t="s">
        <v>227</v>
      </c>
      <c r="D122" s="13">
        <f>E122/5280</f>
        <v>1.4310037878787878</v>
      </c>
      <c r="E122" s="5">
        <v>7555.7</v>
      </c>
      <c r="F122" s="27">
        <f>G122/5280</f>
        <v>1.1002272727272726</v>
      </c>
      <c r="G122" s="28">
        <f>4509.2+1300</f>
        <v>5809.2</v>
      </c>
      <c r="H122" s="54">
        <f>I122/5280</f>
        <v>0.33850378787878788</v>
      </c>
      <c r="I122" s="55">
        <v>1787.3</v>
      </c>
      <c r="J122" s="13">
        <f>K122/5280</f>
        <v>2.8620075757575756</v>
      </c>
      <c r="K122" s="5">
        <v>15111.4</v>
      </c>
      <c r="L122" s="64"/>
      <c r="M122" s="65"/>
    </row>
    <row r="123" spans="1:13" ht="15.75" thickBot="1" x14ac:dyDescent="0.3">
      <c r="A123" s="26" t="s">
        <v>242</v>
      </c>
      <c r="B123" s="26"/>
      <c r="C123" s="26"/>
      <c r="D123" s="34"/>
      <c r="E123" s="35"/>
      <c r="F123" s="45"/>
      <c r="G123" s="46"/>
      <c r="H123" s="52"/>
      <c r="I123" s="53"/>
      <c r="J123" s="34"/>
      <c r="K123" s="35"/>
      <c r="L123" s="62"/>
      <c r="M123" s="63"/>
    </row>
    <row r="124" spans="1:13" ht="17.25" customHeight="1" x14ac:dyDescent="0.25">
      <c r="A124" s="14"/>
      <c r="B124" s="1" t="s">
        <v>46</v>
      </c>
      <c r="C124" s="1" t="s">
        <v>244</v>
      </c>
      <c r="D124" s="13">
        <f>E124/5280</f>
        <v>8.0599621212121217</v>
      </c>
      <c r="E124" s="5">
        <v>42556.6</v>
      </c>
      <c r="F124" s="27">
        <f>G124/5280</f>
        <v>6.7827651515151519</v>
      </c>
      <c r="G124" s="28">
        <v>35813</v>
      </c>
      <c r="H124" s="54">
        <f>I124/5280</f>
        <v>0.6695075757575758</v>
      </c>
      <c r="I124" s="55">
        <v>3535</v>
      </c>
      <c r="J124" s="13">
        <f t="shared" ref="J124" si="69">K124/5280</f>
        <v>0.11200757575757575</v>
      </c>
      <c r="K124" s="5">
        <v>591.4</v>
      </c>
      <c r="L124" s="64">
        <f t="shared" ref="L124" si="70">M124/5280</f>
        <v>0</v>
      </c>
      <c r="M124" s="65"/>
    </row>
    <row r="125" spans="1:13" ht="17.25" customHeight="1" thickBot="1" x14ac:dyDescent="0.3">
      <c r="A125" s="14"/>
      <c r="B125" s="1" t="s">
        <v>19</v>
      </c>
      <c r="C125" s="1" t="s">
        <v>276</v>
      </c>
      <c r="D125" s="13"/>
      <c r="E125" s="5"/>
      <c r="F125" s="27">
        <f>G125/5280</f>
        <v>0.97840909090909089</v>
      </c>
      <c r="G125" s="28">
        <f>2583*2</f>
        <v>5166</v>
      </c>
      <c r="H125" s="54"/>
      <c r="I125" s="55"/>
      <c r="J125" s="13"/>
      <c r="K125" s="5"/>
      <c r="L125" s="64"/>
      <c r="M125" s="65"/>
    </row>
    <row r="126" spans="1:13" ht="17.25" customHeight="1" thickBot="1" x14ac:dyDescent="0.3">
      <c r="A126" s="26" t="s">
        <v>131</v>
      </c>
      <c r="B126" s="26"/>
      <c r="C126" s="26"/>
      <c r="D126" s="34"/>
      <c r="E126" s="35"/>
      <c r="F126" s="45"/>
      <c r="G126" s="46"/>
      <c r="H126" s="52"/>
      <c r="I126" s="53"/>
      <c r="J126" s="34"/>
      <c r="K126" s="35"/>
      <c r="L126" s="62"/>
      <c r="M126" s="63"/>
    </row>
    <row r="127" spans="1:13" ht="17.25" customHeight="1" x14ac:dyDescent="0.25">
      <c r="A127" s="14"/>
      <c r="B127" s="37" t="s">
        <v>74</v>
      </c>
      <c r="C127" s="1" t="s">
        <v>164</v>
      </c>
      <c r="D127" s="13">
        <f t="shared" si="58"/>
        <v>2.487026515151515</v>
      </c>
      <c r="E127" s="5">
        <v>13131.5</v>
      </c>
      <c r="F127" s="27">
        <f t="shared" si="59"/>
        <v>2.338011363636364</v>
      </c>
      <c r="G127" s="28">
        <v>12344.7</v>
      </c>
      <c r="H127" s="57">
        <f t="shared" si="60"/>
        <v>0.38075757575757579</v>
      </c>
      <c r="I127" s="58">
        <v>2010.4</v>
      </c>
      <c r="J127" s="38">
        <f t="shared" si="61"/>
        <v>0</v>
      </c>
      <c r="K127" s="39"/>
      <c r="L127" s="67">
        <f>M127/5280</f>
        <v>0</v>
      </c>
      <c r="M127" s="68"/>
    </row>
    <row r="128" spans="1:13" x14ac:dyDescent="0.25">
      <c r="A128" s="14"/>
      <c r="B128" s="1" t="s">
        <v>99</v>
      </c>
      <c r="C128" s="1" t="s">
        <v>223</v>
      </c>
      <c r="D128" s="13">
        <f t="shared" si="58"/>
        <v>0.23200757575757575</v>
      </c>
      <c r="E128" s="5">
        <v>1225</v>
      </c>
      <c r="F128" s="27">
        <f t="shared" si="59"/>
        <v>0.23200757575757575</v>
      </c>
      <c r="G128" s="28">
        <v>1225</v>
      </c>
      <c r="H128" s="54"/>
      <c r="I128" s="55"/>
      <c r="J128" s="13"/>
      <c r="K128" s="5"/>
      <c r="L128" s="64"/>
      <c r="M128" s="65"/>
    </row>
    <row r="129" spans="1:13" x14ac:dyDescent="0.25">
      <c r="A129" s="14" t="s">
        <v>286</v>
      </c>
      <c r="B129" s="1" t="s">
        <v>104</v>
      </c>
      <c r="C129" s="1" t="s">
        <v>129</v>
      </c>
      <c r="D129" s="13">
        <f>E129/5280</f>
        <v>4.62</v>
      </c>
      <c r="E129" s="5">
        <v>24393.599999999999</v>
      </c>
      <c r="F129" s="27">
        <f>G129/5280</f>
        <v>8.6594696969696976</v>
      </c>
      <c r="G129" s="28">
        <v>45722</v>
      </c>
      <c r="H129" s="54">
        <f>I129/5280</f>
        <v>7.9545454545454544E-2</v>
      </c>
      <c r="I129" s="55">
        <v>420</v>
      </c>
      <c r="J129" s="13">
        <f>K129/5280</f>
        <v>9.057954545454546</v>
      </c>
      <c r="K129" s="5">
        <v>47826</v>
      </c>
      <c r="L129" s="64">
        <f>M129/5280</f>
        <v>2.0731060606060607</v>
      </c>
      <c r="M129" s="65">
        <v>10946</v>
      </c>
    </row>
    <row r="130" spans="1:13" x14ac:dyDescent="0.25">
      <c r="A130" s="14"/>
      <c r="B130" s="1" t="s">
        <v>96</v>
      </c>
      <c r="C130" s="1" t="s">
        <v>204</v>
      </c>
      <c r="D130" s="13">
        <f>E130/5280</f>
        <v>1.2659090909090909</v>
      </c>
      <c r="E130" s="5">
        <v>6684</v>
      </c>
      <c r="F130" s="27">
        <f>G130/5280</f>
        <v>3.3011363636363638</v>
      </c>
      <c r="G130" s="28">
        <v>17430</v>
      </c>
      <c r="H130" s="54"/>
      <c r="I130" s="55">
        <v>600</v>
      </c>
      <c r="J130" s="13"/>
      <c r="K130" s="5"/>
      <c r="L130" s="64"/>
      <c r="M130" s="65"/>
    </row>
    <row r="131" spans="1:13" x14ac:dyDescent="0.25">
      <c r="A131" s="14"/>
      <c r="B131" s="1" t="s">
        <v>61</v>
      </c>
      <c r="C131" s="1" t="s">
        <v>157</v>
      </c>
      <c r="D131" s="13">
        <f>E131/5280</f>
        <v>2.931</v>
      </c>
      <c r="E131" s="5">
        <v>15475.68</v>
      </c>
      <c r="F131" s="27">
        <f>G131/5280</f>
        <v>5.2279999999999998</v>
      </c>
      <c r="G131" s="28">
        <v>27603.84</v>
      </c>
      <c r="H131" s="54">
        <f>I131/5280</f>
        <v>0.112</v>
      </c>
      <c r="I131" s="55">
        <v>591.36</v>
      </c>
      <c r="J131" s="13">
        <f>K131/5280</f>
        <v>3.1883636363636358</v>
      </c>
      <c r="K131" s="5">
        <f>10834.56+6000</f>
        <v>16834.559999999998</v>
      </c>
      <c r="L131" s="64">
        <f>M131/5280</f>
        <v>0</v>
      </c>
      <c r="M131" s="65"/>
    </row>
    <row r="132" spans="1:13" ht="15.75" thickBot="1" x14ac:dyDescent="0.3">
      <c r="A132" s="14" t="s">
        <v>291</v>
      </c>
      <c r="B132" s="1" t="s">
        <v>173</v>
      </c>
      <c r="C132" s="1" t="s">
        <v>174</v>
      </c>
      <c r="D132" s="13">
        <f>E132/5280</f>
        <v>2.4320265151515152</v>
      </c>
      <c r="E132" s="5">
        <v>12841.1</v>
      </c>
      <c r="F132" s="27">
        <f>G132/5280</f>
        <v>3.6626515151515151</v>
      </c>
      <c r="G132" s="28">
        <f>17513.8+1825</f>
        <v>19338.8</v>
      </c>
      <c r="H132" s="54">
        <f>I132/5280</f>
        <v>0.29812499999999997</v>
      </c>
      <c r="I132" s="55">
        <v>1574.1</v>
      </c>
      <c r="J132" s="13">
        <f>K132/5280</f>
        <v>0</v>
      </c>
      <c r="K132" s="5"/>
      <c r="L132" s="64">
        <f>M132/5280</f>
        <v>0</v>
      </c>
      <c r="M132" s="65"/>
    </row>
    <row r="133" spans="1:13" ht="17.25" customHeight="1" thickBot="1" x14ac:dyDescent="0.3">
      <c r="A133" s="26" t="s">
        <v>132</v>
      </c>
      <c r="B133" s="26"/>
      <c r="C133" s="26"/>
      <c r="D133" s="34"/>
      <c r="E133" s="35"/>
      <c r="F133" s="45"/>
      <c r="G133" s="46"/>
      <c r="H133" s="52"/>
      <c r="I133" s="53"/>
      <c r="J133" s="34"/>
      <c r="K133" s="35"/>
      <c r="L133" s="62"/>
      <c r="M133" s="63"/>
    </row>
    <row r="134" spans="1:13" x14ac:dyDescent="0.25">
      <c r="A134" s="14"/>
      <c r="B134" s="37" t="s">
        <v>65</v>
      </c>
      <c r="C134" s="37" t="s">
        <v>166</v>
      </c>
      <c r="D134" s="38">
        <f t="shared" si="58"/>
        <v>0.56799242424242424</v>
      </c>
      <c r="E134" s="39">
        <v>2999</v>
      </c>
      <c r="F134" s="48">
        <f t="shared" si="59"/>
        <v>0.8929924242424242</v>
      </c>
      <c r="G134" s="49">
        <v>4715</v>
      </c>
      <c r="H134" s="57">
        <f t="shared" ref="H134:H136" si="71">I134/5280</f>
        <v>4.4999999999999998E-2</v>
      </c>
      <c r="I134" s="58">
        <v>237.6</v>
      </c>
      <c r="J134" s="38">
        <f t="shared" ref="J134:J136" si="72">K134/5280</f>
        <v>0.13598484848484849</v>
      </c>
      <c r="K134" s="39">
        <v>718</v>
      </c>
      <c r="L134" s="67">
        <f t="shared" ref="L134:L136" si="73">M134/5280</f>
        <v>0</v>
      </c>
      <c r="M134" s="68"/>
    </row>
    <row r="135" spans="1:13" x14ac:dyDescent="0.25">
      <c r="A135" s="14"/>
      <c r="B135" s="1" t="s">
        <v>75</v>
      </c>
      <c r="C135" s="1" t="s">
        <v>285</v>
      </c>
      <c r="D135" s="13">
        <f t="shared" si="58"/>
        <v>1.6519431818181818</v>
      </c>
      <c r="E135" s="5">
        <f>15338.1-6615.84</f>
        <v>8722.26</v>
      </c>
      <c r="F135" s="27">
        <f t="shared" si="59"/>
        <v>3.3172765151515153</v>
      </c>
      <c r="G135" s="28">
        <f>(12022.3+2079)-4810.08+8224</f>
        <v>17515.22</v>
      </c>
      <c r="H135" s="54">
        <f t="shared" si="71"/>
        <v>0.62828787878787884</v>
      </c>
      <c r="I135" s="55">
        <f>3000.4-1250.04+1567</f>
        <v>3317.36</v>
      </c>
      <c r="J135" s="13">
        <f t="shared" si="72"/>
        <v>0</v>
      </c>
      <c r="K135" s="5"/>
      <c r="L135" s="64">
        <f t="shared" si="73"/>
        <v>0</v>
      </c>
      <c r="M135" s="65"/>
    </row>
    <row r="136" spans="1:13" x14ac:dyDescent="0.25">
      <c r="A136" s="14"/>
      <c r="B136" s="1" t="s">
        <v>75</v>
      </c>
      <c r="C136" s="1" t="s">
        <v>137</v>
      </c>
      <c r="D136" s="13">
        <f t="shared" si="58"/>
        <v>0.88200757575757571</v>
      </c>
      <c r="E136" s="5">
        <v>4657</v>
      </c>
      <c r="F136" s="27">
        <f t="shared" si="59"/>
        <v>1.1970075757575758</v>
      </c>
      <c r="G136" s="28">
        <v>6320.2</v>
      </c>
      <c r="H136" s="54">
        <f t="shared" si="71"/>
        <v>9.1761363636363641E-2</v>
      </c>
      <c r="I136" s="55">
        <v>484.5</v>
      </c>
      <c r="J136" s="13">
        <f t="shared" si="72"/>
        <v>0</v>
      </c>
      <c r="K136" s="5"/>
      <c r="L136" s="64">
        <f t="shared" si="73"/>
        <v>0</v>
      </c>
      <c r="M136" s="65"/>
    </row>
    <row r="137" spans="1:13" x14ac:dyDescent="0.25">
      <c r="A137" s="14" t="s">
        <v>287</v>
      </c>
      <c r="B137" s="1" t="s">
        <v>61</v>
      </c>
      <c r="C137" s="1" t="s">
        <v>205</v>
      </c>
      <c r="D137" s="13">
        <f>E137/5280</f>
        <v>5.5790151515151516</v>
      </c>
      <c r="E137" s="5">
        <v>29457.200000000001</v>
      </c>
      <c r="F137" s="27">
        <f>G137/5280</f>
        <v>9.2824621212121219</v>
      </c>
      <c r="G137" s="28">
        <f>42245.4+6766</f>
        <v>49011.4</v>
      </c>
      <c r="H137" s="54">
        <f>I137/5280</f>
        <v>0.64075757575757575</v>
      </c>
      <c r="I137" s="55">
        <v>3383.2</v>
      </c>
      <c r="J137" s="13">
        <f>K137/5280</f>
        <v>0</v>
      </c>
      <c r="K137" s="5"/>
      <c r="L137" s="64">
        <f>M137/5280</f>
        <v>0</v>
      </c>
      <c r="M137" s="65"/>
    </row>
    <row r="138" spans="1:13" ht="15.75" thickBot="1" x14ac:dyDescent="0.3">
      <c r="A138" s="25"/>
      <c r="B138" s="78"/>
      <c r="C138" s="79"/>
      <c r="D138" s="79"/>
      <c r="E138" s="79"/>
      <c r="F138" s="79"/>
      <c r="G138" s="79"/>
      <c r="H138" s="79"/>
      <c r="I138" s="79"/>
      <c r="J138" s="79"/>
      <c r="K138" s="79"/>
      <c r="L138" s="79"/>
      <c r="M138" s="80"/>
    </row>
    <row r="139" spans="1:13" ht="15.75" thickBot="1" x14ac:dyDescent="0.3">
      <c r="A139" s="7"/>
      <c r="B139" s="8"/>
      <c r="C139" s="9" t="s">
        <v>186</v>
      </c>
      <c r="D139" s="33">
        <f t="shared" ref="D139:M139" si="74">SUM(D5:D137)</f>
        <v>219.15901325757571</v>
      </c>
      <c r="E139" s="33">
        <f t="shared" si="74"/>
        <v>1157001.1299999999</v>
      </c>
      <c r="F139" s="73">
        <f t="shared" si="74"/>
        <v>316.78171590909108</v>
      </c>
      <c r="G139" s="73">
        <f t="shared" si="74"/>
        <v>1676098.7399999998</v>
      </c>
      <c r="H139" s="74">
        <f t="shared" si="74"/>
        <v>42.071386363636357</v>
      </c>
      <c r="I139" s="74">
        <f t="shared" si="74"/>
        <v>212052.31999999995</v>
      </c>
      <c r="J139" s="75">
        <f t="shared" si="74"/>
        <v>183.03379356060606</v>
      </c>
      <c r="K139" s="75">
        <f t="shared" si="74"/>
        <v>966418.43000000017</v>
      </c>
      <c r="L139" s="76">
        <f t="shared" si="74"/>
        <v>6.7434090909090907</v>
      </c>
      <c r="M139" s="77">
        <f t="shared" si="74"/>
        <v>35605.199999999997</v>
      </c>
    </row>
    <row r="140" spans="1:13" ht="15.75" thickTop="1" x14ac:dyDescent="0.25"/>
    <row r="142" spans="1:13" x14ac:dyDescent="0.25">
      <c r="G142" s="11"/>
      <c r="I142" s="11"/>
      <c r="K142" s="11"/>
      <c r="M142" s="11"/>
    </row>
    <row r="143" spans="1:13" x14ac:dyDescent="0.25">
      <c r="E143" s="11"/>
      <c r="G143" s="11"/>
      <c r="I143" s="11"/>
    </row>
    <row r="145" spans="7:13" x14ac:dyDescent="0.25">
      <c r="G145" s="12"/>
      <c r="I145" s="11"/>
    </row>
    <row r="146" spans="7:13" x14ac:dyDescent="0.25">
      <c r="G146" s="11"/>
      <c r="I146" s="12"/>
      <c r="M146" s="11"/>
    </row>
    <row r="147" spans="7:13" x14ac:dyDescent="0.25">
      <c r="G147" s="11"/>
    </row>
    <row r="148" spans="7:13" x14ac:dyDescent="0.25">
      <c r="G148" s="11"/>
    </row>
  </sheetData>
  <mergeCells count="9">
    <mergeCell ref="J1:K3"/>
    <mergeCell ref="L1:M3"/>
    <mergeCell ref="B138:M138"/>
    <mergeCell ref="A1:A3"/>
    <mergeCell ref="B1:B3"/>
    <mergeCell ref="C1:C3"/>
    <mergeCell ref="D1:E3"/>
    <mergeCell ref="F1:G3"/>
    <mergeCell ref="H1:I3"/>
  </mergeCells>
  <pageMargins left="0.25" right="0.25" top="0.75" bottom="0.75" header="0.3" footer="0.3"/>
  <pageSetup scale="56" fitToHeight="0" orientation="landscape" r:id="rId1"/>
  <headerFooter>
    <oddHeader xml:space="preserve">&amp;C&amp;"-,Bold"&amp;14 2024 LINEAR PAVEMENT MARKINGS
</oddHead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55D51-11E8-4DEE-8127-B3396D74D463}">
  <sheetPr>
    <pageSetUpPr fitToPage="1"/>
  </sheetPr>
  <dimension ref="A1:BU73"/>
  <sheetViews>
    <sheetView tabSelected="1" zoomScale="85" zoomScaleNormal="85" zoomScalePageLayoutView="70" workbookViewId="0">
      <pane ySplit="3" topLeftCell="A9" activePane="bottomLeft" state="frozen"/>
      <selection pane="bottomLeft" activeCell="T31" sqref="T31"/>
    </sheetView>
  </sheetViews>
  <sheetFormatPr defaultRowHeight="15" x14ac:dyDescent="0.25"/>
  <cols>
    <col min="1" max="1" width="25.7109375" style="6" bestFit="1" customWidth="1"/>
    <col min="2" max="2" width="28.7109375" style="4" customWidth="1"/>
    <col min="3" max="3" width="70.7109375" style="4" customWidth="1"/>
    <col min="4" max="4" width="13.28515625" style="4" hidden="1" customWidth="1"/>
    <col min="5" max="5" width="2.28515625" style="4" hidden="1" customWidth="1"/>
    <col min="6" max="6" width="14.28515625" style="4" customWidth="1"/>
    <col min="7" max="7" width="13.28515625" style="4" bestFit="1" customWidth="1"/>
    <col min="8" max="8" width="14.5703125" style="4" customWidth="1"/>
    <col min="9" max="9" width="16.85546875" style="4" customWidth="1"/>
    <col min="10" max="10" width="14.42578125" style="4" customWidth="1"/>
    <col min="11" max="11" width="13.28515625" style="4" bestFit="1" customWidth="1"/>
    <col min="12" max="12" width="15.140625" style="4" customWidth="1"/>
    <col min="13" max="13" width="12.85546875" style="4" customWidth="1"/>
    <col min="14" max="14" width="5.140625" customWidth="1"/>
    <col min="16" max="16" width="13.28515625" bestFit="1" customWidth="1"/>
    <col min="17" max="17" width="17.7109375" bestFit="1" customWidth="1"/>
    <col min="18" max="18" width="11.5703125" bestFit="1" customWidth="1"/>
    <col min="19" max="19" width="10.5703125" bestFit="1" customWidth="1"/>
    <col min="20" max="20" width="10.7109375" customWidth="1"/>
    <col min="21" max="21" width="9.28515625" bestFit="1" customWidth="1"/>
  </cols>
  <sheetData>
    <row r="1" spans="1:13" ht="15.75" thickTop="1" x14ac:dyDescent="0.25">
      <c r="A1" s="93" t="s">
        <v>143</v>
      </c>
      <c r="B1" s="96" t="s">
        <v>0</v>
      </c>
      <c r="C1" s="96" t="s">
        <v>140</v>
      </c>
      <c r="D1" s="81" t="s">
        <v>1</v>
      </c>
      <c r="E1" s="82"/>
      <c r="F1" s="99" t="s">
        <v>2</v>
      </c>
      <c r="G1" s="100"/>
      <c r="H1" s="105" t="s">
        <v>234</v>
      </c>
      <c r="I1" s="106"/>
      <c r="J1" s="81" t="s">
        <v>3</v>
      </c>
      <c r="K1" s="82"/>
      <c r="L1" s="87" t="s">
        <v>4</v>
      </c>
      <c r="M1" s="88"/>
    </row>
    <row r="2" spans="1:13" ht="7.15" customHeight="1" x14ac:dyDescent="0.25">
      <c r="A2" s="94"/>
      <c r="B2" s="97"/>
      <c r="C2" s="97"/>
      <c r="D2" s="83"/>
      <c r="E2" s="84"/>
      <c r="F2" s="101"/>
      <c r="G2" s="102"/>
      <c r="H2" s="107"/>
      <c r="I2" s="108"/>
      <c r="J2" s="83"/>
      <c r="K2" s="84"/>
      <c r="L2" s="89"/>
      <c r="M2" s="90"/>
    </row>
    <row r="3" spans="1:13" ht="30.6" customHeight="1" thickBot="1" x14ac:dyDescent="0.3">
      <c r="A3" s="95"/>
      <c r="B3" s="98"/>
      <c r="C3" s="98"/>
      <c r="D3" s="85"/>
      <c r="E3" s="86"/>
      <c r="F3" s="103"/>
      <c r="G3" s="104"/>
      <c r="H3" s="109"/>
      <c r="I3" s="110"/>
      <c r="J3" s="85"/>
      <c r="K3" s="86"/>
      <c r="L3" s="91"/>
      <c r="M3" s="92"/>
    </row>
    <row r="4" spans="1:13" ht="17.25" customHeight="1" thickBot="1" x14ac:dyDescent="0.3">
      <c r="A4" s="15" t="s">
        <v>144</v>
      </c>
      <c r="B4" s="24" t="s">
        <v>139</v>
      </c>
      <c r="C4" s="24" t="s">
        <v>140</v>
      </c>
      <c r="D4" s="20" t="s">
        <v>141</v>
      </c>
      <c r="E4" s="21" t="s">
        <v>142</v>
      </c>
      <c r="F4" s="18" t="s">
        <v>207</v>
      </c>
      <c r="G4" s="19" t="s">
        <v>208</v>
      </c>
      <c r="H4" s="16" t="s">
        <v>209</v>
      </c>
      <c r="I4" s="17" t="s">
        <v>210</v>
      </c>
      <c r="J4" s="20" t="s">
        <v>211</v>
      </c>
      <c r="K4" s="21" t="s">
        <v>212</v>
      </c>
      <c r="L4" s="22" t="s">
        <v>213</v>
      </c>
      <c r="M4" s="23" t="s">
        <v>214</v>
      </c>
    </row>
    <row r="5" spans="1:13" ht="17.25" customHeight="1" thickBot="1" x14ac:dyDescent="0.3">
      <c r="A5" s="26" t="s">
        <v>215</v>
      </c>
      <c r="B5" s="26"/>
      <c r="C5" s="26"/>
      <c r="D5" s="34"/>
      <c r="E5" s="35"/>
      <c r="F5" s="45"/>
      <c r="G5" s="46"/>
      <c r="H5" s="52"/>
      <c r="I5" s="53"/>
      <c r="J5" s="34"/>
      <c r="K5" s="35"/>
      <c r="L5" s="62"/>
      <c r="M5" s="63"/>
    </row>
    <row r="6" spans="1:13" x14ac:dyDescent="0.25">
      <c r="A6" s="14"/>
      <c r="B6" s="1" t="s">
        <v>71</v>
      </c>
      <c r="C6" s="1" t="s">
        <v>249</v>
      </c>
      <c r="D6" s="13"/>
      <c r="E6" s="5"/>
      <c r="F6" s="27">
        <f t="shared" ref="F6:F7" si="0">G6/5280</f>
        <v>0.2337121212121212</v>
      </c>
      <c r="G6" s="28">
        <v>1234</v>
      </c>
      <c r="H6" s="54">
        <f>I6/5280</f>
        <v>0.24829545454545454</v>
      </c>
      <c r="I6" s="55">
        <v>1311</v>
      </c>
      <c r="J6" s="13"/>
      <c r="K6" s="5"/>
      <c r="L6" s="64"/>
      <c r="M6" s="65"/>
    </row>
    <row r="7" spans="1:13" ht="15.75" thickBot="1" x14ac:dyDescent="0.3">
      <c r="A7" s="14"/>
      <c r="B7" s="1" t="s">
        <v>71</v>
      </c>
      <c r="C7" s="1" t="s">
        <v>254</v>
      </c>
      <c r="D7" s="13"/>
      <c r="E7" s="5"/>
      <c r="F7" s="27">
        <f t="shared" si="0"/>
        <v>1.8087121212121211</v>
      </c>
      <c r="G7" s="28">
        <f>4775*2</f>
        <v>9550</v>
      </c>
      <c r="H7" s="54"/>
      <c r="I7" s="55"/>
      <c r="J7" s="13"/>
      <c r="K7" s="5"/>
      <c r="L7" s="64"/>
      <c r="M7" s="65"/>
    </row>
    <row r="8" spans="1:13" ht="15.75" thickBot="1" x14ac:dyDescent="0.3">
      <c r="A8" s="26" t="s">
        <v>5</v>
      </c>
      <c r="B8" s="26"/>
      <c r="C8" s="26"/>
      <c r="D8" s="34"/>
      <c r="E8" s="35"/>
      <c r="F8" s="45"/>
      <c r="G8" s="46"/>
      <c r="H8" s="52"/>
      <c r="I8" s="53"/>
      <c r="J8" s="34"/>
      <c r="K8" s="35"/>
      <c r="L8" s="62"/>
      <c r="M8" s="63"/>
    </row>
    <row r="9" spans="1:13" ht="17.25" customHeight="1" x14ac:dyDescent="0.25">
      <c r="A9" s="14" t="s">
        <v>251</v>
      </c>
      <c r="B9" s="1" t="s">
        <v>44</v>
      </c>
      <c r="C9" s="1" t="s">
        <v>45</v>
      </c>
      <c r="D9" s="13">
        <f t="shared" ref="D9:D12" si="1">E9/5280</f>
        <v>3.3210037878787881</v>
      </c>
      <c r="E9" s="5">
        <v>17534.900000000001</v>
      </c>
      <c r="F9" s="27">
        <f t="shared" ref="F9:F12" si="2">G9/5280</f>
        <v>5.9440340909090912</v>
      </c>
      <c r="G9" s="28">
        <f>16584.5+5000+9800</f>
        <v>31384.5</v>
      </c>
      <c r="H9" s="54">
        <f t="shared" ref="H9:H12" si="3">I9/5280</f>
        <v>0.50874999999999992</v>
      </c>
      <c r="I9" s="55">
        <v>2686.2</v>
      </c>
      <c r="J9" s="13">
        <f t="shared" ref="J9:J12" si="4">K9/5280</f>
        <v>3.4547727272727276</v>
      </c>
      <c r="K9" s="5">
        <f>2000+16241.2</f>
        <v>18241.2</v>
      </c>
      <c r="L9" s="64">
        <f t="shared" ref="L9:L12" si="5">M9/5280</f>
        <v>0</v>
      </c>
      <c r="M9" s="65"/>
    </row>
    <row r="10" spans="1:13" ht="17.25" customHeight="1" x14ac:dyDescent="0.25">
      <c r="B10" s="1" t="s">
        <v>42</v>
      </c>
      <c r="C10" s="1" t="s">
        <v>43</v>
      </c>
      <c r="D10" s="13">
        <f t="shared" si="1"/>
        <v>3.637992424242424</v>
      </c>
      <c r="E10" s="5">
        <v>19208.599999999999</v>
      </c>
      <c r="F10" s="47">
        <f t="shared" si="2"/>
        <v>3.0473484848484849</v>
      </c>
      <c r="G10" s="47">
        <f>13781+2309</f>
        <v>16090</v>
      </c>
      <c r="H10" s="54">
        <f t="shared" si="3"/>
        <v>0.70825757575757575</v>
      </c>
      <c r="I10" s="56">
        <v>3739.6</v>
      </c>
      <c r="J10" s="13">
        <f t="shared" si="4"/>
        <v>0</v>
      </c>
      <c r="K10" s="31"/>
      <c r="L10" s="64">
        <f t="shared" si="5"/>
        <v>0</v>
      </c>
      <c r="M10" s="65"/>
    </row>
    <row r="11" spans="1:13" ht="17.25" customHeight="1" x14ac:dyDescent="0.25">
      <c r="B11" s="1" t="s">
        <v>37</v>
      </c>
      <c r="C11" s="1" t="s">
        <v>38</v>
      </c>
      <c r="D11" s="13">
        <f t="shared" si="1"/>
        <v>1.0179924242424243</v>
      </c>
      <c r="E11" s="5">
        <v>5375</v>
      </c>
      <c r="F11" s="27">
        <f t="shared" si="2"/>
        <v>0.21899621212121212</v>
      </c>
      <c r="G11" s="28">
        <v>1156.3</v>
      </c>
      <c r="H11" s="54">
        <f t="shared" si="3"/>
        <v>0.25450757575757577</v>
      </c>
      <c r="I11" s="55">
        <v>1343.8</v>
      </c>
      <c r="J11" s="13">
        <f t="shared" si="4"/>
        <v>0</v>
      </c>
      <c r="K11" s="5"/>
      <c r="L11" s="64">
        <f t="shared" si="5"/>
        <v>0</v>
      </c>
      <c r="M11" s="65"/>
    </row>
    <row r="12" spans="1:13" ht="17.25" customHeight="1" thickBot="1" x14ac:dyDescent="0.3">
      <c r="B12" s="1" t="s">
        <v>39</v>
      </c>
      <c r="C12" s="1" t="s">
        <v>40</v>
      </c>
      <c r="D12" s="13">
        <f t="shared" si="1"/>
        <v>1.5320075757575757</v>
      </c>
      <c r="E12" s="5">
        <v>8089</v>
      </c>
      <c r="F12" s="27">
        <f t="shared" si="2"/>
        <v>0.64250000000000007</v>
      </c>
      <c r="G12" s="28">
        <f>554.4+2838</f>
        <v>3392.4</v>
      </c>
      <c r="H12" s="54">
        <f t="shared" si="3"/>
        <v>0.38301136363636362</v>
      </c>
      <c r="I12" s="55">
        <v>2022.3</v>
      </c>
      <c r="J12" s="13">
        <f t="shared" si="4"/>
        <v>0</v>
      </c>
      <c r="K12" s="5"/>
      <c r="L12" s="64">
        <f t="shared" si="5"/>
        <v>0</v>
      </c>
      <c r="M12" s="65"/>
    </row>
    <row r="13" spans="1:13" ht="15.75" thickBot="1" x14ac:dyDescent="0.3">
      <c r="A13" s="26" t="s">
        <v>216</v>
      </c>
      <c r="B13" s="26"/>
      <c r="C13" s="26"/>
      <c r="D13" s="34"/>
      <c r="E13" s="35"/>
      <c r="F13" s="45"/>
      <c r="G13" s="46"/>
      <c r="H13" s="52"/>
      <c r="I13" s="53"/>
      <c r="J13" s="34"/>
      <c r="K13" s="35"/>
      <c r="L13" s="62"/>
      <c r="M13" s="63"/>
    </row>
    <row r="14" spans="1:13" x14ac:dyDescent="0.25">
      <c r="A14" s="14"/>
      <c r="B14" s="1" t="s">
        <v>193</v>
      </c>
      <c r="C14" s="1" t="s">
        <v>72</v>
      </c>
      <c r="D14" s="13">
        <f t="shared" ref="D14:D15" si="6">E14/5280</f>
        <v>0.59598484848484856</v>
      </c>
      <c r="E14" s="5">
        <v>3146.8</v>
      </c>
      <c r="F14" s="27">
        <f t="shared" ref="F14:F15" si="7">G14/5280</f>
        <v>2.0419886363636364</v>
      </c>
      <c r="G14" s="28">
        <v>10781.7</v>
      </c>
      <c r="H14" s="54">
        <f t="shared" ref="H14" si="8">I14/5280</f>
        <v>0.3087689393939394</v>
      </c>
      <c r="I14" s="55">
        <v>1630.3</v>
      </c>
      <c r="J14" s="13"/>
      <c r="K14" s="5"/>
      <c r="L14" s="64"/>
      <c r="M14" s="65"/>
    </row>
    <row r="15" spans="1:13" x14ac:dyDescent="0.25">
      <c r="A15" s="14"/>
      <c r="B15" s="1" t="s">
        <v>194</v>
      </c>
      <c r="C15" s="1" t="s">
        <v>64</v>
      </c>
      <c r="D15" s="13">
        <f t="shared" si="6"/>
        <v>3.0789962121212122</v>
      </c>
      <c r="E15" s="5">
        <v>16257.1</v>
      </c>
      <c r="F15" s="27">
        <f t="shared" si="7"/>
        <v>4.662973484848485</v>
      </c>
      <c r="G15" s="28">
        <v>24620.5</v>
      </c>
      <c r="H15" s="54">
        <f>I15/5280</f>
        <v>0.20950757575757575</v>
      </c>
      <c r="I15" s="55">
        <v>1106.2</v>
      </c>
      <c r="J15" s="13">
        <f>K15/5280</f>
        <v>6.4460037878787881</v>
      </c>
      <c r="K15" s="5">
        <v>34034.9</v>
      </c>
      <c r="L15" s="64"/>
      <c r="M15" s="65"/>
    </row>
    <row r="16" spans="1:13" x14ac:dyDescent="0.25">
      <c r="A16" s="14"/>
      <c r="B16" s="1" t="s">
        <v>192</v>
      </c>
      <c r="C16" s="1" t="s">
        <v>259</v>
      </c>
      <c r="D16" s="13">
        <v>1.167</v>
      </c>
      <c r="E16" s="5">
        <f>D16*5280</f>
        <v>6161.76</v>
      </c>
      <c r="F16" s="27">
        <f>Table423[[#This Row],[FEET3]]/5280</f>
        <v>1.853030303030303</v>
      </c>
      <c r="G16" s="28">
        <v>9784</v>
      </c>
      <c r="H16" s="54">
        <v>0.19900000000000001</v>
      </c>
      <c r="I16" s="55">
        <f>H16*5280</f>
        <v>1050.72</v>
      </c>
      <c r="J16" s="13">
        <f>Table423[[#This Row],[FEET7]]/5280</f>
        <v>0.89</v>
      </c>
      <c r="K16" s="5">
        <v>4699.2</v>
      </c>
      <c r="L16" s="64"/>
      <c r="M16" s="65"/>
    </row>
    <row r="17" spans="1:13" x14ac:dyDescent="0.25">
      <c r="A17" s="14"/>
      <c r="B17" s="1" t="s">
        <v>17</v>
      </c>
      <c r="C17" s="1" t="s">
        <v>260</v>
      </c>
      <c r="D17" s="13">
        <f>E17/5280</f>
        <v>2.6829924242424243</v>
      </c>
      <c r="E17" s="5">
        <v>14166.2</v>
      </c>
      <c r="F17" s="27">
        <f>G17/5280</f>
        <v>2.5359848484848486</v>
      </c>
      <c r="G17" s="28">
        <v>13390</v>
      </c>
      <c r="H17" s="54">
        <f>I17/5280</f>
        <v>0</v>
      </c>
      <c r="I17" s="55"/>
      <c r="J17" s="13">
        <f>K17/5280</f>
        <v>2.5739772727272729</v>
      </c>
      <c r="K17" s="5">
        <v>13590.6</v>
      </c>
      <c r="L17" s="64">
        <f>M17/5280</f>
        <v>0</v>
      </c>
      <c r="M17" s="65"/>
    </row>
    <row r="18" spans="1:13" ht="15.75" thickBot="1" x14ac:dyDescent="0.3">
      <c r="A18" s="14"/>
      <c r="B18" s="1" t="s">
        <v>17</v>
      </c>
      <c r="C18" s="1" t="s">
        <v>76</v>
      </c>
      <c r="D18" s="13">
        <f>E18/5280</f>
        <v>1.2679924242424243</v>
      </c>
      <c r="E18" s="5">
        <v>6695</v>
      </c>
      <c r="F18" s="27">
        <f>G18/5280</f>
        <v>2.5359848484848486</v>
      </c>
      <c r="G18" s="28">
        <v>13390</v>
      </c>
      <c r="H18" s="54">
        <f>I18/5280</f>
        <v>0.39393939393939392</v>
      </c>
      <c r="I18" s="55">
        <v>2080</v>
      </c>
      <c r="J18" s="13">
        <f>K18/5280</f>
        <v>5.0360984848484849</v>
      </c>
      <c r="K18" s="5">
        <f>13590.6+13000</f>
        <v>26590.6</v>
      </c>
      <c r="L18" s="64">
        <f>M18/5280</f>
        <v>0</v>
      </c>
      <c r="M18" s="65"/>
    </row>
    <row r="19" spans="1:13" ht="15.75" thickBot="1" x14ac:dyDescent="0.3">
      <c r="A19" s="26" t="s">
        <v>85</v>
      </c>
      <c r="B19" s="26"/>
      <c r="C19" s="26"/>
      <c r="D19" s="34"/>
      <c r="E19" s="35"/>
      <c r="F19" s="45"/>
      <c r="G19" s="46"/>
      <c r="H19" s="52"/>
      <c r="I19" s="53"/>
      <c r="J19" s="34"/>
      <c r="K19" s="35"/>
      <c r="L19" s="62"/>
      <c r="M19" s="63"/>
    </row>
    <row r="20" spans="1:13" x14ac:dyDescent="0.25">
      <c r="A20" s="14"/>
      <c r="B20" s="37" t="s">
        <v>88</v>
      </c>
      <c r="C20" s="37" t="s">
        <v>89</v>
      </c>
      <c r="D20" s="38">
        <f t="shared" ref="D20:D21" si="9">E20/5280</f>
        <v>0.49698863636363633</v>
      </c>
      <c r="E20" s="39">
        <v>2624.1</v>
      </c>
      <c r="F20" s="48">
        <f t="shared" ref="F20:F21" si="10">G20/5280</f>
        <v>0.38598484848484849</v>
      </c>
      <c r="G20" s="49">
        <v>2038</v>
      </c>
      <c r="H20" s="57">
        <f t="shared" ref="H20:H21" si="11">I20/5280</f>
        <v>0.10170454545454545</v>
      </c>
      <c r="I20" s="58">
        <v>537</v>
      </c>
      <c r="J20" s="38">
        <f t="shared" ref="J20:J21" si="12">K20/5280</f>
        <v>0</v>
      </c>
      <c r="K20" s="39"/>
      <c r="L20" s="67">
        <f t="shared" ref="L20:L21" si="13">M20/5280</f>
        <v>0</v>
      </c>
      <c r="M20" s="68"/>
    </row>
    <row r="21" spans="1:13" ht="15.75" thickBot="1" x14ac:dyDescent="0.3">
      <c r="A21" s="14" t="s">
        <v>278</v>
      </c>
      <c r="B21" s="1" t="s">
        <v>90</v>
      </c>
      <c r="C21" s="1" t="s">
        <v>176</v>
      </c>
      <c r="D21" s="13">
        <f t="shared" si="9"/>
        <v>4.4249999999999998</v>
      </c>
      <c r="E21" s="5">
        <v>23364</v>
      </c>
      <c r="F21" s="27">
        <f t="shared" si="10"/>
        <v>7.5041818181818183</v>
      </c>
      <c r="G21" s="28">
        <f>36622.08+3000</f>
        <v>39622.080000000002</v>
      </c>
      <c r="H21" s="54">
        <f t="shared" si="11"/>
        <v>0.20624999999999999</v>
      </c>
      <c r="I21" s="55">
        <v>1089</v>
      </c>
      <c r="J21" s="13">
        <f t="shared" si="12"/>
        <v>0</v>
      </c>
      <c r="K21" s="5"/>
      <c r="L21" s="64">
        <f t="shared" si="13"/>
        <v>0</v>
      </c>
      <c r="M21" s="65"/>
    </row>
    <row r="22" spans="1:13" ht="15.75" thickBot="1" x14ac:dyDescent="0.3">
      <c r="A22" s="26" t="s">
        <v>95</v>
      </c>
      <c r="B22" s="26"/>
      <c r="C22" s="26"/>
      <c r="D22" s="34"/>
      <c r="E22" s="35"/>
      <c r="F22" s="45"/>
      <c r="G22" s="46"/>
      <c r="H22" s="52"/>
      <c r="I22" s="53"/>
      <c r="J22" s="34"/>
      <c r="K22" s="35"/>
      <c r="L22" s="62"/>
      <c r="M22" s="63"/>
    </row>
    <row r="23" spans="1:13" x14ac:dyDescent="0.25">
      <c r="A23" s="14" t="s">
        <v>269</v>
      </c>
      <c r="B23" s="36" t="s">
        <v>24</v>
      </c>
      <c r="C23" s="1" t="s">
        <v>268</v>
      </c>
      <c r="D23" s="13">
        <f t="shared" ref="D23" si="14">E23/5280</f>
        <v>0.99864015151515151</v>
      </c>
      <c r="E23" s="5">
        <v>5272.82</v>
      </c>
      <c r="F23" s="27">
        <f t="shared" ref="F23:F24" si="15">G23/5280</f>
        <v>4.8450075757575757</v>
      </c>
      <c r="G23" s="28">
        <f>5272.82*2+15036</f>
        <v>25581.64</v>
      </c>
      <c r="H23" s="54">
        <f t="shared" ref="H23:H24" si="16">I23/5280</f>
        <v>0.17367424242424243</v>
      </c>
      <c r="I23" s="55">
        <v>917</v>
      </c>
      <c r="J23" s="13">
        <f t="shared" ref="J23:J24" si="17">K23/5280</f>
        <v>2.0425094696969697</v>
      </c>
      <c r="K23" s="5">
        <v>10784.45</v>
      </c>
      <c r="L23" s="64">
        <f t="shared" ref="L23:L24" si="18">M23/5280</f>
        <v>0</v>
      </c>
      <c r="M23" s="65"/>
    </row>
    <row r="24" spans="1:13" ht="15.75" thickBot="1" x14ac:dyDescent="0.3">
      <c r="A24" s="14"/>
      <c r="B24" s="36" t="s">
        <v>19</v>
      </c>
      <c r="C24" s="1" t="s">
        <v>267</v>
      </c>
      <c r="D24" s="13">
        <f>E24/5280</f>
        <v>2.87</v>
      </c>
      <c r="E24" s="5">
        <v>15153.6</v>
      </c>
      <c r="F24" s="27">
        <f t="shared" si="15"/>
        <v>4.3515492424242428</v>
      </c>
      <c r="G24" s="28">
        <f>14933.18+8043</f>
        <v>22976.18</v>
      </c>
      <c r="H24" s="54">
        <f t="shared" si="16"/>
        <v>0.66032064393939394</v>
      </c>
      <c r="I24" s="55">
        <f>2413.493+1073</f>
        <v>3486.4929999999999</v>
      </c>
      <c r="J24" s="13">
        <f t="shared" si="17"/>
        <v>2.7048731060606062</v>
      </c>
      <c r="K24" s="5">
        <v>14281.73</v>
      </c>
      <c r="L24" s="64">
        <f t="shared" si="18"/>
        <v>0</v>
      </c>
      <c r="M24" s="65"/>
    </row>
    <row r="25" spans="1:13" ht="15.75" thickBot="1" x14ac:dyDescent="0.3">
      <c r="A25" s="26" t="s">
        <v>217</v>
      </c>
      <c r="B25" s="26"/>
      <c r="C25" s="26"/>
      <c r="D25" s="34"/>
      <c r="E25" s="35"/>
      <c r="F25" s="45"/>
      <c r="G25" s="46"/>
      <c r="H25" s="52"/>
      <c r="I25" s="53"/>
      <c r="J25" s="34"/>
      <c r="K25" s="35"/>
      <c r="L25" s="62"/>
      <c r="M25" s="63"/>
    </row>
    <row r="26" spans="1:13" ht="15.75" thickBot="1" x14ac:dyDescent="0.3">
      <c r="A26" s="26" t="s">
        <v>113</v>
      </c>
      <c r="B26" s="26"/>
      <c r="C26" s="26"/>
      <c r="D26" s="34"/>
      <c r="E26" s="35"/>
      <c r="F26" s="45"/>
      <c r="G26" s="46"/>
      <c r="H26" s="52"/>
      <c r="I26" s="53"/>
      <c r="J26" s="34"/>
      <c r="K26" s="35"/>
      <c r="L26" s="62"/>
      <c r="M26" s="63"/>
    </row>
    <row r="27" spans="1:13" ht="15.75" thickBot="1" x14ac:dyDescent="0.3">
      <c r="A27" s="14"/>
      <c r="B27" s="1" t="s">
        <v>106</v>
      </c>
      <c r="C27" s="1" t="s">
        <v>107</v>
      </c>
      <c r="D27" s="13">
        <f>E27/5280</f>
        <v>5.9739962121212127</v>
      </c>
      <c r="E27" s="5">
        <v>31542.7</v>
      </c>
      <c r="F27" s="27">
        <f>G27/5280</f>
        <v>5.7635227272727274</v>
      </c>
      <c r="G27" s="28">
        <f>27788.4+2643</f>
        <v>30431.4</v>
      </c>
      <c r="H27" s="54">
        <f>I27/5280</f>
        <v>1.1087878787878787</v>
      </c>
      <c r="I27" s="55">
        <v>5854.4</v>
      </c>
      <c r="J27" s="13">
        <f>K27/5280</f>
        <v>0.16801136363636365</v>
      </c>
      <c r="K27" s="5">
        <v>887.1</v>
      </c>
      <c r="L27" s="64">
        <f>M27/5280</f>
        <v>0</v>
      </c>
      <c r="M27" s="65"/>
    </row>
    <row r="28" spans="1:13" x14ac:dyDescent="0.25">
      <c r="A28" s="14"/>
      <c r="B28" s="1" t="s">
        <v>24</v>
      </c>
      <c r="C28" s="1" t="s">
        <v>271</v>
      </c>
      <c r="D28" s="13"/>
      <c r="E28" s="5"/>
      <c r="F28" s="27">
        <f>Table42[[#This Row],[FEET3]]/5280</f>
        <v>1.454034090909091</v>
      </c>
      <c r="G28" s="28">
        <v>5200</v>
      </c>
      <c r="H28" s="54"/>
      <c r="I28" s="55"/>
      <c r="J28" s="13"/>
      <c r="K28" s="5"/>
      <c r="L28" s="64"/>
      <c r="M28" s="68"/>
    </row>
    <row r="29" spans="1:13" ht="15.75" thickBot="1" x14ac:dyDescent="0.3">
      <c r="A29" s="14"/>
      <c r="B29" s="1" t="s">
        <v>17</v>
      </c>
      <c r="C29" s="1" t="s">
        <v>273</v>
      </c>
      <c r="D29" s="13"/>
      <c r="E29" s="5"/>
      <c r="F29" s="27">
        <f>Table42[[#This Row],[FEET3]]/5280</f>
        <v>1.6840151515151516</v>
      </c>
      <c r="G29" s="28">
        <v>4034</v>
      </c>
      <c r="H29" s="54">
        <f>Table42[[#This Row],[FEET5]]/5280</f>
        <v>0.14551136363636363</v>
      </c>
      <c r="I29" s="55">
        <v>1081</v>
      </c>
      <c r="J29" s="13"/>
      <c r="K29" s="5"/>
      <c r="L29" s="64"/>
      <c r="M29" s="65"/>
    </row>
    <row r="30" spans="1:13" ht="17.25" customHeight="1" thickBot="1" x14ac:dyDescent="0.3">
      <c r="A30" s="26" t="s">
        <v>114</v>
      </c>
      <c r="B30" s="26"/>
      <c r="C30" s="26"/>
      <c r="D30" s="34"/>
      <c r="E30" s="35"/>
      <c r="F30" s="45"/>
      <c r="G30" s="46"/>
      <c r="H30" s="52"/>
      <c r="I30" s="59"/>
      <c r="J30" s="34"/>
      <c r="K30" s="35"/>
      <c r="L30" s="70"/>
      <c r="M30" s="63"/>
    </row>
    <row r="31" spans="1:13" ht="17.25" customHeight="1" thickBot="1" x14ac:dyDescent="0.3">
      <c r="A31" s="26" t="s">
        <v>115</v>
      </c>
      <c r="B31" s="26"/>
      <c r="C31" s="26"/>
      <c r="D31" s="34"/>
      <c r="E31" s="35"/>
      <c r="F31" s="45"/>
      <c r="G31" s="46"/>
      <c r="H31" s="52"/>
      <c r="I31" s="59"/>
      <c r="J31" s="34"/>
      <c r="K31" s="35"/>
      <c r="L31" s="70"/>
      <c r="M31" s="63"/>
    </row>
    <row r="32" spans="1:13" ht="17.25" customHeight="1" x14ac:dyDescent="0.25">
      <c r="A32" s="40" t="s">
        <v>292</v>
      </c>
      <c r="B32" s="41" t="s">
        <v>202</v>
      </c>
      <c r="C32" s="41" t="s">
        <v>203</v>
      </c>
      <c r="D32" s="42">
        <f t="shared" ref="D32:D37" si="19">E32/5280</f>
        <v>0.88049242424242424</v>
      </c>
      <c r="E32" s="43">
        <v>4649</v>
      </c>
      <c r="F32" s="50">
        <f t="shared" ref="F32:F37" si="20">G32/5280</f>
        <v>1.3712121212121211</v>
      </c>
      <c r="G32" s="51">
        <v>7240</v>
      </c>
      <c r="H32" s="60">
        <f t="shared" ref="H32:H37" si="21">I32/5280</f>
        <v>7.1922348484848492E-2</v>
      </c>
      <c r="I32" s="61">
        <v>379.75</v>
      </c>
      <c r="J32" s="42">
        <f t="shared" ref="J32:J37" si="22">K32/5280</f>
        <v>0</v>
      </c>
      <c r="K32" s="43"/>
      <c r="L32" s="71"/>
      <c r="M32" s="72"/>
    </row>
    <row r="33" spans="1:73" ht="17.25" customHeight="1" x14ac:dyDescent="0.25">
      <c r="A33" s="14"/>
      <c r="B33" s="1" t="s">
        <v>7</v>
      </c>
      <c r="C33" s="1" t="s">
        <v>100</v>
      </c>
      <c r="D33" s="13">
        <f t="shared" si="19"/>
        <v>2.7670454545454546</v>
      </c>
      <c r="E33" s="5">
        <v>14610</v>
      </c>
      <c r="F33" s="27">
        <f t="shared" si="20"/>
        <v>3.316041666666667</v>
      </c>
      <c r="G33" s="28">
        <v>17508.7</v>
      </c>
      <c r="H33" s="54">
        <f t="shared" si="21"/>
        <v>0.36702651515151519</v>
      </c>
      <c r="I33" s="55">
        <v>1937.9</v>
      </c>
      <c r="J33" s="13">
        <f t="shared" si="22"/>
        <v>0.11200757575757575</v>
      </c>
      <c r="K33" s="5">
        <v>591.4</v>
      </c>
      <c r="L33" s="64">
        <f t="shared" ref="L33:L37" si="23">M33/5280</f>
        <v>0</v>
      </c>
      <c r="M33" s="65"/>
    </row>
    <row r="34" spans="1:73" ht="17.25" customHeight="1" x14ac:dyDescent="0.25">
      <c r="A34" s="14"/>
      <c r="B34" s="1" t="s">
        <v>99</v>
      </c>
      <c r="C34" s="1" t="s">
        <v>158</v>
      </c>
      <c r="D34" s="13">
        <f t="shared" si="19"/>
        <v>1.0020075757575759</v>
      </c>
      <c r="E34" s="5">
        <v>5290.6</v>
      </c>
      <c r="F34" s="27">
        <f t="shared" si="20"/>
        <v>2.0040151515151519</v>
      </c>
      <c r="G34" s="28">
        <v>10581.2</v>
      </c>
      <c r="H34" s="54">
        <f t="shared" si="21"/>
        <v>0</v>
      </c>
      <c r="I34" s="55"/>
      <c r="J34" s="13">
        <f t="shared" si="22"/>
        <v>0</v>
      </c>
      <c r="K34" s="5"/>
      <c r="L34" s="64">
        <f t="shared" si="23"/>
        <v>0</v>
      </c>
      <c r="M34" s="65"/>
    </row>
    <row r="35" spans="1:73" ht="17.25" customHeight="1" x14ac:dyDescent="0.25">
      <c r="A35" s="14"/>
      <c r="B35" s="1" t="s">
        <v>159</v>
      </c>
      <c r="C35" s="1" t="s">
        <v>232</v>
      </c>
      <c r="D35" s="13">
        <f t="shared" si="19"/>
        <v>2.0149810606060607</v>
      </c>
      <c r="E35" s="5">
        <v>10639.1</v>
      </c>
      <c r="F35" s="27">
        <f t="shared" si="20"/>
        <v>3.0969886363636365</v>
      </c>
      <c r="G35" s="28">
        <v>16352.1</v>
      </c>
      <c r="H35" s="54">
        <f t="shared" si="21"/>
        <v>0.31437500000000002</v>
      </c>
      <c r="I35" s="55">
        <f>997.9+662</f>
        <v>1659.9</v>
      </c>
      <c r="J35" s="13">
        <f t="shared" si="22"/>
        <v>0</v>
      </c>
      <c r="K35" s="5">
        <v>0</v>
      </c>
      <c r="L35" s="64">
        <f t="shared" si="23"/>
        <v>0</v>
      </c>
      <c r="M35" s="65"/>
    </row>
    <row r="36" spans="1:73" ht="17.25" customHeight="1" x14ac:dyDescent="0.25">
      <c r="A36" s="14" t="s">
        <v>295</v>
      </c>
      <c r="B36" s="36" t="s">
        <v>35</v>
      </c>
      <c r="C36" s="1" t="s">
        <v>36</v>
      </c>
      <c r="D36" s="13">
        <f t="shared" si="19"/>
        <v>8.1570492424242431</v>
      </c>
      <c r="E36" s="5">
        <f>(44552.9+7101.6)-8585.28</f>
        <v>43069.22</v>
      </c>
      <c r="F36" s="27">
        <f t="shared" si="20"/>
        <v>14.873734848484849</v>
      </c>
      <c r="G36" s="28">
        <f>78533.32</f>
        <v>78533.320000000007</v>
      </c>
      <c r="H36" s="54">
        <f t="shared" si="21"/>
        <v>0.61677272727272725</v>
      </c>
      <c r="I36" s="55">
        <f>3256.56</f>
        <v>3256.56</v>
      </c>
      <c r="J36" s="13">
        <f t="shared" si="22"/>
        <v>12.75441287878788</v>
      </c>
      <c r="K36" s="5">
        <f>34758.3+32585</f>
        <v>67343.3</v>
      </c>
      <c r="L36" s="64">
        <f t="shared" si="23"/>
        <v>0</v>
      </c>
      <c r="M36" s="65"/>
    </row>
    <row r="37" spans="1:73" ht="17.25" customHeight="1" thickBot="1" x14ac:dyDescent="0.3">
      <c r="A37" s="14"/>
      <c r="B37" s="1" t="s">
        <v>173</v>
      </c>
      <c r="C37" s="1" t="s">
        <v>123</v>
      </c>
      <c r="D37" s="13">
        <f t="shared" si="19"/>
        <v>2.9879545454545453</v>
      </c>
      <c r="E37" s="5">
        <v>15776.4</v>
      </c>
      <c r="F37" s="27">
        <f t="shared" si="20"/>
        <v>3.1827083333333333</v>
      </c>
      <c r="G37" s="28">
        <v>16804.7</v>
      </c>
      <c r="H37" s="54">
        <f t="shared" si="21"/>
        <v>0.67162878787878788</v>
      </c>
      <c r="I37" s="55">
        <v>3546.2</v>
      </c>
      <c r="J37" s="13">
        <f t="shared" si="22"/>
        <v>0</v>
      </c>
      <c r="K37" s="5"/>
      <c r="L37" s="64">
        <f t="shared" si="23"/>
        <v>0</v>
      </c>
      <c r="M37" s="65"/>
    </row>
    <row r="38" spans="1:73" ht="17.25" customHeight="1" thickBot="1" x14ac:dyDescent="0.3">
      <c r="A38" s="26" t="s">
        <v>116</v>
      </c>
      <c r="B38" s="26"/>
      <c r="C38" s="26"/>
      <c r="D38" s="34"/>
      <c r="E38" s="35"/>
      <c r="F38" s="45"/>
      <c r="G38" s="46"/>
      <c r="H38" s="52"/>
      <c r="I38" s="53"/>
      <c r="J38" s="34"/>
      <c r="K38" s="35"/>
      <c r="L38" s="62"/>
      <c r="M38" s="63"/>
    </row>
    <row r="39" spans="1:73" ht="17.25" customHeight="1" x14ac:dyDescent="0.25">
      <c r="A39" s="14" t="s">
        <v>275</v>
      </c>
      <c r="B39" s="1" t="s">
        <v>170</v>
      </c>
      <c r="C39" s="1" t="s">
        <v>121</v>
      </c>
      <c r="D39" s="13">
        <f t="shared" ref="D39" si="24">E39/5280</f>
        <v>0.96199999999999997</v>
      </c>
      <c r="E39" s="5">
        <v>5079.3599999999997</v>
      </c>
      <c r="F39" s="27">
        <f t="shared" ref="F39" si="25">G39/5280</f>
        <v>0.53900000000000003</v>
      </c>
      <c r="G39" s="28">
        <v>2845.92</v>
      </c>
      <c r="H39" s="54">
        <f t="shared" ref="H39" si="26">I39/5280</f>
        <v>0.22100000000000003</v>
      </c>
      <c r="I39" s="55">
        <v>1166.8800000000001</v>
      </c>
      <c r="J39" s="13">
        <f t="shared" ref="J39" si="27">K39/5280</f>
        <v>0</v>
      </c>
      <c r="K39" s="5"/>
      <c r="L39" s="64">
        <f t="shared" ref="L39" si="28">M39/5280</f>
        <v>0</v>
      </c>
      <c r="M39" s="66"/>
    </row>
    <row r="40" spans="1:73" ht="15.75" thickBot="1" x14ac:dyDescent="0.3">
      <c r="A40" s="14"/>
      <c r="B40" s="1"/>
      <c r="C40" s="1"/>
      <c r="D40" s="2"/>
      <c r="E40" s="3"/>
      <c r="F40" s="27"/>
      <c r="G40" s="28"/>
      <c r="H40" s="54"/>
      <c r="I40" s="55"/>
      <c r="J40" s="2"/>
      <c r="K40" s="3"/>
      <c r="L40" s="64"/>
      <c r="M40" s="69"/>
    </row>
    <row r="41" spans="1:73" ht="15.75" thickBot="1" x14ac:dyDescent="0.3">
      <c r="A41" s="26" t="s">
        <v>218</v>
      </c>
      <c r="B41" s="26"/>
      <c r="C41" s="26"/>
      <c r="D41" s="34"/>
      <c r="E41" s="35"/>
      <c r="F41" s="45"/>
      <c r="G41" s="46"/>
      <c r="H41" s="52"/>
      <c r="I41" s="53"/>
      <c r="J41" s="34"/>
      <c r="K41" s="35"/>
      <c r="L41" s="62"/>
      <c r="M41" s="63"/>
    </row>
    <row r="42" spans="1:73" s="30" customFormat="1" x14ac:dyDescent="0.25">
      <c r="A42" s="14" t="s">
        <v>284</v>
      </c>
      <c r="B42" s="1" t="s">
        <v>37</v>
      </c>
      <c r="C42" s="1" t="s">
        <v>279</v>
      </c>
      <c r="D42" s="13"/>
      <c r="E42" s="5"/>
      <c r="F42" s="27">
        <f t="shared" ref="F42:F43" si="29">G42/5280</f>
        <v>1.9768939393939393</v>
      </c>
      <c r="G42" s="28">
        <v>10438</v>
      </c>
      <c r="H42" s="54">
        <f t="shared" ref="H42:H43" si="30">I42/5280</f>
        <v>7.3863636363636367E-2</v>
      </c>
      <c r="I42" s="55">
        <v>390</v>
      </c>
      <c r="J42" s="13"/>
      <c r="K42" s="5"/>
      <c r="L42" s="64"/>
      <c r="M42" s="65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</row>
    <row r="43" spans="1:73" x14ac:dyDescent="0.25">
      <c r="A43" s="14"/>
      <c r="B43" s="1" t="s">
        <v>90</v>
      </c>
      <c r="C43" s="1" t="s">
        <v>175</v>
      </c>
      <c r="D43" s="13">
        <f t="shared" ref="D43" si="31">E43/5280</f>
        <v>2.4900189393939391</v>
      </c>
      <c r="E43" s="5">
        <v>13147.3</v>
      </c>
      <c r="F43" s="27">
        <f t="shared" si="29"/>
        <v>2.1146022727272729</v>
      </c>
      <c r="G43" s="28">
        <f>10465.1+700</f>
        <v>11165.1</v>
      </c>
      <c r="H43" s="54">
        <f t="shared" si="30"/>
        <v>0.4657575757575757</v>
      </c>
      <c r="I43" s="55">
        <v>2459.1999999999998</v>
      </c>
      <c r="J43" s="13">
        <f t="shared" ref="J43" si="32">K43/5280</f>
        <v>0</v>
      </c>
      <c r="K43" s="5"/>
      <c r="L43" s="64">
        <f>M43/5280</f>
        <v>0</v>
      </c>
      <c r="M43" s="65"/>
    </row>
    <row r="44" spans="1:73" x14ac:dyDescent="0.25">
      <c r="A44" s="14"/>
      <c r="B44" s="1" t="s">
        <v>7</v>
      </c>
      <c r="C44" s="1" t="s">
        <v>188</v>
      </c>
      <c r="D44" s="13">
        <v>2.64</v>
      </c>
      <c r="E44" s="5">
        <f>D44*5280</f>
        <v>13939.2</v>
      </c>
      <c r="F44" s="27">
        <v>2.5099999999999998</v>
      </c>
      <c r="G44" s="28">
        <f>F44*5280</f>
        <v>13252.8</v>
      </c>
      <c r="H44" s="54">
        <v>0.502</v>
      </c>
      <c r="I44" s="55">
        <f>H44*5280</f>
        <v>2650.56</v>
      </c>
      <c r="J44" s="13"/>
      <c r="K44" s="5"/>
      <c r="L44" s="64"/>
      <c r="M44" s="65"/>
    </row>
    <row r="45" spans="1:73" ht="15.75" thickBot="1" x14ac:dyDescent="0.3">
      <c r="A45" s="14" t="s">
        <v>290</v>
      </c>
      <c r="B45" s="1" t="s">
        <v>20</v>
      </c>
      <c r="C45" s="1" t="s">
        <v>248</v>
      </c>
      <c r="D45" s="13">
        <f t="shared" ref="D45" si="33">E45/5280</f>
        <v>4.687001893939394</v>
      </c>
      <c r="E45" s="5">
        <f>37197.61-12450.24</f>
        <v>24747.370000000003</v>
      </c>
      <c r="F45" s="27">
        <f t="shared" ref="F45" si="34">G45/5280</f>
        <v>15.083234848484851</v>
      </c>
      <c r="G45" s="28">
        <f>65054.8-14224.32+28809</f>
        <v>79639.48000000001</v>
      </c>
      <c r="H45" s="54">
        <f t="shared" ref="H45" si="35">I45/5280</f>
        <v>0.26824242424242428</v>
      </c>
      <c r="I45" s="55">
        <f>1469.2-341.88+289</f>
        <v>1416.3200000000002</v>
      </c>
      <c r="J45" s="13">
        <f t="shared" ref="J45" si="36">K45/5280</f>
        <v>3.6865227272727275</v>
      </c>
      <c r="K45" s="5">
        <f>10454.4-1858.56+10869</f>
        <v>19464.84</v>
      </c>
      <c r="L45" s="64"/>
      <c r="M45" s="65"/>
    </row>
    <row r="46" spans="1:73" ht="15.75" thickBot="1" x14ac:dyDescent="0.3">
      <c r="A46" s="26" t="s">
        <v>128</v>
      </c>
      <c r="B46" s="26"/>
      <c r="C46" s="26"/>
      <c r="D46" s="34"/>
      <c r="E46" s="35"/>
      <c r="F46" s="45"/>
      <c r="G46" s="46"/>
      <c r="H46" s="52"/>
      <c r="I46" s="53"/>
      <c r="J46" s="34"/>
      <c r="K46" s="35"/>
      <c r="L46" s="62"/>
      <c r="M46" s="63"/>
    </row>
    <row r="47" spans="1:73" x14ac:dyDescent="0.25">
      <c r="A47" s="14" t="s">
        <v>277</v>
      </c>
      <c r="B47" s="1" t="s">
        <v>183</v>
      </c>
      <c r="C47" s="1" t="s">
        <v>184</v>
      </c>
      <c r="D47" s="13">
        <f>E47/5280</f>
        <v>5.0220151515151521</v>
      </c>
      <c r="E47" s="5">
        <v>26516.240000000002</v>
      </c>
      <c r="F47" s="27">
        <f>G47/5280</f>
        <v>2.2330000000000001</v>
      </c>
      <c r="G47" s="28">
        <v>11790.24</v>
      </c>
      <c r="H47" s="54">
        <f>I47/5280</f>
        <v>0.98151515151515145</v>
      </c>
      <c r="I47" s="55">
        <v>5182.3999999999996</v>
      </c>
      <c r="J47" s="13">
        <f>K47/5280</f>
        <v>0</v>
      </c>
      <c r="K47" s="5"/>
      <c r="L47" s="64">
        <f>M47/5280</f>
        <v>0</v>
      </c>
      <c r="M47" s="65"/>
    </row>
    <row r="48" spans="1:73" x14ac:dyDescent="0.25">
      <c r="A48" s="14"/>
      <c r="B48" s="1" t="s">
        <v>84</v>
      </c>
      <c r="C48" s="1" t="s">
        <v>238</v>
      </c>
      <c r="D48" s="13">
        <f t="shared" ref="D48:D51" si="37">E48/5280</f>
        <v>0.62901515151515153</v>
      </c>
      <c r="E48" s="5">
        <v>3321.2</v>
      </c>
      <c r="F48" s="27">
        <f t="shared" ref="F48:F51" si="38">G48/5280</f>
        <v>1.2335606060606061</v>
      </c>
      <c r="G48" s="28">
        <f>4113.2+2400</f>
        <v>6513.2</v>
      </c>
      <c r="H48" s="54">
        <f t="shared" ref="H48:H51" si="39">I48/5280</f>
        <v>6.6515151515151513E-2</v>
      </c>
      <c r="I48" s="55">
        <v>351.2</v>
      </c>
      <c r="J48" s="13">
        <f t="shared" ref="J48:J51" si="40">K48/5280</f>
        <v>1.3326325757575759</v>
      </c>
      <c r="K48" s="5">
        <f>1536.3+5500</f>
        <v>7036.3</v>
      </c>
      <c r="L48" s="64">
        <f t="shared" ref="L48:L51" si="41">M48/5280</f>
        <v>0</v>
      </c>
      <c r="M48" s="65"/>
    </row>
    <row r="49" spans="1:13" x14ac:dyDescent="0.25">
      <c r="A49" s="14"/>
      <c r="B49" s="1" t="s">
        <v>24</v>
      </c>
      <c r="C49" s="1" t="s">
        <v>155</v>
      </c>
      <c r="D49" s="13">
        <f t="shared" si="37"/>
        <v>0.60801136363636366</v>
      </c>
      <c r="E49" s="5">
        <v>3210.3</v>
      </c>
      <c r="F49" s="27">
        <f t="shared" si="38"/>
        <v>0.74602272727272723</v>
      </c>
      <c r="G49" s="28">
        <v>3939</v>
      </c>
      <c r="H49" s="54">
        <f t="shared" si="39"/>
        <v>9.3996212121212119E-2</v>
      </c>
      <c r="I49" s="55">
        <v>496.3</v>
      </c>
      <c r="J49" s="13">
        <f t="shared" si="40"/>
        <v>3.4015151515151512E-2</v>
      </c>
      <c r="K49" s="5">
        <v>179.6</v>
      </c>
      <c r="L49" s="64">
        <f t="shared" si="41"/>
        <v>0</v>
      </c>
      <c r="M49" s="65"/>
    </row>
    <row r="50" spans="1:13" x14ac:dyDescent="0.25">
      <c r="A50" s="14"/>
      <c r="B50" s="1" t="s">
        <v>78</v>
      </c>
      <c r="C50" s="1" t="s">
        <v>80</v>
      </c>
      <c r="D50" s="13">
        <f t="shared" si="37"/>
        <v>1.3510227272727271</v>
      </c>
      <c r="E50" s="5">
        <v>7133.4</v>
      </c>
      <c r="F50" s="27">
        <f t="shared" si="38"/>
        <v>0.69700757575757577</v>
      </c>
      <c r="G50" s="28">
        <v>3680.2</v>
      </c>
      <c r="H50" s="54">
        <f t="shared" si="39"/>
        <v>0.33776515151515152</v>
      </c>
      <c r="I50" s="55">
        <v>1783.4</v>
      </c>
      <c r="J50" s="13">
        <f t="shared" si="40"/>
        <v>0</v>
      </c>
      <c r="K50" s="5"/>
      <c r="L50" s="64">
        <f t="shared" si="41"/>
        <v>0</v>
      </c>
      <c r="M50" s="65"/>
    </row>
    <row r="51" spans="1:13" ht="15.75" thickBot="1" x14ac:dyDescent="0.3">
      <c r="A51" s="14" t="s">
        <v>277</v>
      </c>
      <c r="B51" s="1" t="s">
        <v>69</v>
      </c>
      <c r="C51" s="1" t="s">
        <v>83</v>
      </c>
      <c r="D51" s="13">
        <f t="shared" si="37"/>
        <v>2.925037878787879</v>
      </c>
      <c r="E51" s="5">
        <v>15444.2</v>
      </c>
      <c r="F51" s="27">
        <f t="shared" si="38"/>
        <v>2.8480492424242425</v>
      </c>
      <c r="G51" s="28">
        <f>10686.7+4351</f>
        <v>15037.7</v>
      </c>
      <c r="H51" s="54">
        <f t="shared" si="39"/>
        <v>0.51725378787878784</v>
      </c>
      <c r="I51" s="55">
        <v>2731.1</v>
      </c>
      <c r="J51" s="13">
        <f t="shared" si="40"/>
        <v>5.6819696969696967</v>
      </c>
      <c r="K51" s="5">
        <f>8701.8+21299</f>
        <v>30000.799999999999</v>
      </c>
      <c r="L51" s="64">
        <f t="shared" si="41"/>
        <v>0</v>
      </c>
      <c r="M51" s="65"/>
    </row>
    <row r="52" spans="1:13" ht="15.75" thickBot="1" x14ac:dyDescent="0.3">
      <c r="A52" s="26" t="s">
        <v>127</v>
      </c>
      <c r="B52" s="26"/>
      <c r="C52" s="26"/>
      <c r="D52" s="34"/>
      <c r="E52" s="35"/>
      <c r="F52" s="45"/>
      <c r="G52" s="46"/>
      <c r="H52" s="52"/>
      <c r="I52" s="53"/>
      <c r="J52" s="34"/>
      <c r="K52" s="35"/>
      <c r="L52" s="62"/>
      <c r="M52" s="63"/>
    </row>
    <row r="53" spans="1:13" ht="17.25" customHeight="1" thickBot="1" x14ac:dyDescent="0.3">
      <c r="A53" s="14"/>
      <c r="B53" s="37" t="s">
        <v>8</v>
      </c>
      <c r="C53" s="37" t="s">
        <v>296</v>
      </c>
      <c r="D53" s="38">
        <f>E53/5280</f>
        <v>0.6634469696969697</v>
      </c>
      <c r="E53" s="39">
        <v>3503</v>
      </c>
      <c r="F53" s="48">
        <f>G53/5280</f>
        <v>3.2430113636363633</v>
      </c>
      <c r="G53" s="49">
        <v>17123.099999999999</v>
      </c>
      <c r="H53" s="57">
        <f>I53/5280</f>
        <v>0.65575757575757576</v>
      </c>
      <c r="I53" s="58">
        <v>3462.4</v>
      </c>
      <c r="J53" s="38"/>
      <c r="K53" s="39">
        <v>306.2</v>
      </c>
      <c r="L53" s="67"/>
      <c r="M53" s="68"/>
    </row>
    <row r="54" spans="1:13" ht="17.25" customHeight="1" thickBot="1" x14ac:dyDescent="0.3">
      <c r="A54" s="26" t="s">
        <v>242</v>
      </c>
      <c r="B54" s="26"/>
      <c r="C54" s="26"/>
      <c r="D54" s="34"/>
      <c r="E54" s="35"/>
      <c r="F54" s="45"/>
      <c r="G54" s="46"/>
      <c r="H54" s="52"/>
      <c r="I54" s="53"/>
      <c r="J54" s="34"/>
      <c r="K54" s="35"/>
      <c r="L54" s="62"/>
      <c r="M54" s="63"/>
    </row>
    <row r="55" spans="1:13" ht="17.25" customHeight="1" x14ac:dyDescent="0.25">
      <c r="A55" s="14"/>
      <c r="B55" s="1" t="s">
        <v>46</v>
      </c>
      <c r="C55" s="1" t="s">
        <v>244</v>
      </c>
      <c r="D55" s="13">
        <f>E55/5280</f>
        <v>8.0599621212121217</v>
      </c>
      <c r="E55" s="5">
        <v>42556.6</v>
      </c>
      <c r="F55" s="27">
        <f>G55/5280</f>
        <v>6.7827651515151519</v>
      </c>
      <c r="G55" s="28">
        <v>35813</v>
      </c>
      <c r="H55" s="54">
        <f>I55/5280</f>
        <v>0.6695075757575758</v>
      </c>
      <c r="I55" s="55">
        <v>3535</v>
      </c>
      <c r="J55" s="13">
        <f t="shared" ref="J55" si="42">K55/5280</f>
        <v>0.11200757575757575</v>
      </c>
      <c r="K55" s="5">
        <v>591.4</v>
      </c>
      <c r="L55" s="64">
        <f t="shared" ref="L55" si="43">M55/5280</f>
        <v>0</v>
      </c>
      <c r="M55" s="65"/>
    </row>
    <row r="56" spans="1:13" ht="15.75" thickBot="1" x14ac:dyDescent="0.3">
      <c r="A56" s="14"/>
      <c r="B56" s="1" t="s">
        <v>19</v>
      </c>
      <c r="C56" s="1" t="s">
        <v>276</v>
      </c>
      <c r="D56" s="13"/>
      <c r="E56" s="5"/>
      <c r="F56" s="27">
        <f>G56/5280</f>
        <v>0.97840909090909089</v>
      </c>
      <c r="G56" s="28">
        <f>2583*2</f>
        <v>5166</v>
      </c>
      <c r="H56" s="54"/>
      <c r="I56" s="55"/>
      <c r="J56" s="13"/>
      <c r="K56" s="5"/>
      <c r="L56" s="64"/>
      <c r="M56" s="65"/>
    </row>
    <row r="57" spans="1:13" ht="15.75" thickBot="1" x14ac:dyDescent="0.3">
      <c r="A57" s="26" t="s">
        <v>131</v>
      </c>
      <c r="B57" s="26"/>
      <c r="C57" s="26"/>
      <c r="D57" s="34"/>
      <c r="E57" s="35"/>
      <c r="F57" s="45"/>
      <c r="G57" s="46"/>
      <c r="H57" s="52"/>
      <c r="I57" s="53"/>
      <c r="J57" s="34"/>
      <c r="K57" s="35"/>
      <c r="L57" s="62"/>
      <c r="M57" s="63"/>
    </row>
    <row r="58" spans="1:13" ht="15.75" thickBot="1" x14ac:dyDescent="0.3">
      <c r="A58" s="14"/>
      <c r="B58" s="1" t="s">
        <v>54</v>
      </c>
      <c r="C58" s="1" t="s">
        <v>130</v>
      </c>
      <c r="D58" s="13">
        <f t="shared" ref="D58" si="44">E58/5280</f>
        <v>1.4989962121212121</v>
      </c>
      <c r="E58" s="5">
        <v>7914.7</v>
      </c>
      <c r="F58" s="27">
        <f t="shared" ref="F58" si="45">G58/5280</f>
        <v>2.355</v>
      </c>
      <c r="G58" s="28">
        <v>12434.4</v>
      </c>
      <c r="H58" s="54">
        <f t="shared" ref="H58" si="46">I58/5280</f>
        <v>0.11725378787878789</v>
      </c>
      <c r="I58" s="55">
        <v>619.1</v>
      </c>
      <c r="J58" s="13">
        <f t="shared" ref="J58" si="47">K58/5280</f>
        <v>0.38071969696969699</v>
      </c>
      <c r="K58" s="5">
        <f>1003.2+1007</f>
        <v>2010.2</v>
      </c>
      <c r="L58" s="64">
        <f t="shared" ref="L58" si="48">M58/5280</f>
        <v>0</v>
      </c>
      <c r="M58" s="65"/>
    </row>
    <row r="59" spans="1:13" ht="15.75" thickBot="1" x14ac:dyDescent="0.3">
      <c r="A59" s="26" t="s">
        <v>132</v>
      </c>
      <c r="B59" s="26"/>
      <c r="C59" s="26"/>
      <c r="D59" s="34"/>
      <c r="E59" s="35"/>
      <c r="F59" s="45"/>
      <c r="G59" s="46"/>
      <c r="H59" s="52"/>
      <c r="I59" s="53"/>
      <c r="J59" s="34"/>
      <c r="K59" s="35"/>
      <c r="L59" s="62"/>
      <c r="M59" s="63"/>
    </row>
    <row r="60" spans="1:13" x14ac:dyDescent="0.25">
      <c r="A60" s="14"/>
      <c r="B60" s="1" t="s">
        <v>133</v>
      </c>
      <c r="C60" s="1" t="s">
        <v>134</v>
      </c>
      <c r="D60" s="13">
        <f t="shared" ref="D60:D61" si="49">E60/5280</f>
        <v>2.8230113636363638</v>
      </c>
      <c r="E60" s="5">
        <v>14905.5</v>
      </c>
      <c r="F60" s="27">
        <f t="shared" ref="F60:F61" si="50">G60/5280</f>
        <v>2.5879924242424241</v>
      </c>
      <c r="G60" s="28">
        <v>13664.6</v>
      </c>
      <c r="H60" s="54">
        <f t="shared" ref="H60:H61" si="51">I60/5280</f>
        <v>0.44450757575757577</v>
      </c>
      <c r="I60" s="55">
        <v>2347</v>
      </c>
      <c r="J60" s="13">
        <f t="shared" ref="J60:J61" si="52">K60/5280</f>
        <v>0.16</v>
      </c>
      <c r="K60" s="5">
        <v>844.8</v>
      </c>
      <c r="L60" s="64">
        <f t="shared" ref="L60:L61" si="53">M60/5280</f>
        <v>0</v>
      </c>
      <c r="M60" s="65"/>
    </row>
    <row r="61" spans="1:13" x14ac:dyDescent="0.25">
      <c r="A61" s="14"/>
      <c r="B61" s="1" t="s">
        <v>135</v>
      </c>
      <c r="C61" s="1" t="s">
        <v>136</v>
      </c>
      <c r="D61" s="13">
        <f t="shared" si="49"/>
        <v>2.4806250000000003</v>
      </c>
      <c r="E61" s="5">
        <f>4329.5+1957+6811.2</f>
        <v>13097.7</v>
      </c>
      <c r="F61" s="27">
        <f t="shared" si="50"/>
        <v>3.0389924242424242</v>
      </c>
      <c r="G61" s="28">
        <f>4319+11726.88</f>
        <v>16045.88</v>
      </c>
      <c r="H61" s="54">
        <f t="shared" si="51"/>
        <v>0.19475378787878786</v>
      </c>
      <c r="I61" s="55">
        <f>698.3+330</f>
        <v>1028.3</v>
      </c>
      <c r="J61" s="13">
        <f t="shared" si="52"/>
        <v>1.2570000000000001</v>
      </c>
      <c r="K61" s="5">
        <f>660+5976.96</f>
        <v>6636.96</v>
      </c>
      <c r="L61" s="64">
        <f t="shared" si="53"/>
        <v>0</v>
      </c>
      <c r="M61" s="65"/>
    </row>
    <row r="62" spans="1:13" x14ac:dyDescent="0.25">
      <c r="A62" s="14"/>
      <c r="B62" s="1" t="s">
        <v>63</v>
      </c>
      <c r="C62" s="1" t="s">
        <v>283</v>
      </c>
      <c r="D62" s="2"/>
      <c r="E62" s="3"/>
      <c r="F62" s="27"/>
      <c r="G62" s="28">
        <v>5269</v>
      </c>
      <c r="H62" s="54"/>
      <c r="I62" s="55"/>
      <c r="J62" s="2"/>
      <c r="K62" s="3"/>
      <c r="L62" s="64"/>
      <c r="M62" s="65"/>
    </row>
    <row r="63" spans="1:13" ht="15.75" thickBot="1" x14ac:dyDescent="0.3">
      <c r="A63" s="25"/>
      <c r="B63" s="78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80"/>
    </row>
    <row r="64" spans="1:13" ht="15.75" thickBot="1" x14ac:dyDescent="0.3">
      <c r="A64" s="7"/>
      <c r="B64" s="8"/>
      <c r="C64" s="9" t="s">
        <v>186</v>
      </c>
      <c r="D64" s="33">
        <f t="shared" ref="D64:M64" si="54">SUM(D5:D62)</f>
        <v>87.716282196969701</v>
      </c>
      <c r="E64" s="33">
        <f t="shared" si="54"/>
        <v>463141.97000000003</v>
      </c>
      <c r="F64" s="73">
        <f t="shared" si="54"/>
        <v>128.32580303030309</v>
      </c>
      <c r="G64" s="73">
        <f t="shared" si="54"/>
        <v>675494.33999999985</v>
      </c>
      <c r="H64" s="74">
        <f t="shared" si="54"/>
        <v>13.26170132575758</v>
      </c>
      <c r="I64" s="74">
        <f t="shared" si="54"/>
        <v>70334.482999999993</v>
      </c>
      <c r="J64" s="75">
        <f t="shared" si="54"/>
        <v>48.827534090909083</v>
      </c>
      <c r="K64" s="75">
        <f t="shared" si="54"/>
        <v>258115.57999999996</v>
      </c>
      <c r="L64" s="76">
        <f t="shared" si="54"/>
        <v>0</v>
      </c>
      <c r="M64" s="77">
        <f t="shared" si="54"/>
        <v>0</v>
      </c>
    </row>
    <row r="65" spans="5:16" ht="15.75" thickTop="1" x14ac:dyDescent="0.25"/>
    <row r="66" spans="5:16" x14ac:dyDescent="0.25">
      <c r="F66" s="11"/>
      <c r="H66" s="11"/>
      <c r="J66" s="11"/>
      <c r="L66" s="11"/>
      <c r="P66" s="10"/>
    </row>
    <row r="67" spans="5:16" x14ac:dyDescent="0.25">
      <c r="G67" s="11"/>
      <c r="I67" s="11"/>
      <c r="K67" s="11"/>
      <c r="M67" s="11"/>
    </row>
    <row r="68" spans="5:16" x14ac:dyDescent="0.25">
      <c r="E68" s="11"/>
      <c r="G68" s="11"/>
      <c r="I68" s="11"/>
      <c r="P68" s="10"/>
    </row>
    <row r="70" spans="5:16" x14ac:dyDescent="0.25">
      <c r="G70" s="12"/>
      <c r="I70" s="11"/>
      <c r="P70" s="10"/>
    </row>
    <row r="71" spans="5:16" x14ac:dyDescent="0.25">
      <c r="G71" s="11"/>
      <c r="I71" s="12"/>
      <c r="M71" s="11"/>
    </row>
    <row r="72" spans="5:16" x14ac:dyDescent="0.25">
      <c r="G72" s="11"/>
    </row>
    <row r="73" spans="5:16" x14ac:dyDescent="0.25">
      <c r="G73" s="11"/>
    </row>
  </sheetData>
  <mergeCells count="9">
    <mergeCell ref="J1:K3"/>
    <mergeCell ref="L1:M3"/>
    <mergeCell ref="B63:M63"/>
    <mergeCell ref="A1:A3"/>
    <mergeCell ref="B1:B3"/>
    <mergeCell ref="C1:C3"/>
    <mergeCell ref="D1:E3"/>
    <mergeCell ref="F1:G3"/>
    <mergeCell ref="H1:I3"/>
  </mergeCells>
  <pageMargins left="0.25" right="0.25" top="0.75" bottom="0.75" header="0.3" footer="0.3"/>
  <pageSetup scale="56" fitToHeight="0" orientation="landscape" r:id="rId1"/>
  <headerFooter>
    <oddHeader xml:space="preserve">&amp;C&amp;"-,Bold"&amp;14 2024 LINEAR PAVEMENT MARKINGS
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2025 Total</vt:lpstr>
      <vt:lpstr>Part 1</vt:lpstr>
      <vt:lpstr>Part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Soto Luna</dc:creator>
  <cp:lastModifiedBy>Kristen Lindzy</cp:lastModifiedBy>
  <cp:lastPrinted>2025-03-20T18:13:37Z</cp:lastPrinted>
  <dcterms:created xsi:type="dcterms:W3CDTF">2024-02-16T19:57:28Z</dcterms:created>
  <dcterms:modified xsi:type="dcterms:W3CDTF">2025-03-28T12:21:06Z</dcterms:modified>
</cp:coreProperties>
</file>